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howInkAnnotation="0"/>
  <mc:AlternateContent xmlns:mc="http://schemas.openxmlformats.org/markup-compatibility/2006">
    <mc:Choice Requires="x15">
      <x15ac:absPath xmlns:x15ac="http://schemas.microsoft.com/office/spreadsheetml/2010/11/ac" url="D:\Homepage\html\tec-science\mechanical-power-transmission\youtube\involute-gear-calculation\stuff\"/>
    </mc:Choice>
  </mc:AlternateContent>
  <xr:revisionPtr revIDLastSave="0" documentId="13_ncr:1_{54655D8C-47F5-49B3-B747-29113BCFA33B}" xr6:coauthVersionLast="47" xr6:coauthVersionMax="47" xr10:uidLastSave="{00000000-0000-0000-0000-000000000000}"/>
  <bookViews>
    <workbookView xWindow="-120" yWindow="-120" windowWidth="29040" windowHeight="15840" xr2:uid="{00000000-000D-0000-FFFF-FFFF00000000}"/>
  </bookViews>
  <sheets>
    <sheet name="input" sheetId="1" r:id="rId1"/>
    <sheet name="Newton's method" sheetId="2" r:id="rId2"/>
  </sheets>
  <calcPr calcId="191029"/>
  <customWorkbookViews>
    <customWorkbookView name="HHH - Persönliche Ansicht" guid="{6517D423-1BF8-4160-845E-47FD774DFB56}" mergeInterval="0" personalView="1" maximized="1" xWindow="1912" yWindow="22" windowWidth="1696" windowHeight="106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1" l="1"/>
  <c r="I18" i="1"/>
  <c r="H18" i="1"/>
  <c r="I20" i="1" l="1"/>
  <c r="H8" i="1"/>
  <c r="H21" i="1" s="1"/>
  <c r="I21" i="1" l="1"/>
  <c r="I12" i="1"/>
  <c r="H12" i="1"/>
  <c r="B1" i="2" l="1"/>
  <c r="I25" i="1"/>
  <c r="H25" i="1"/>
  <c r="H17" i="1"/>
  <c r="I22" i="1" l="1"/>
  <c r="I27" i="1" s="1"/>
  <c r="H22" i="1"/>
  <c r="H27" i="1" s="1"/>
  <c r="H24" i="1"/>
  <c r="C17" i="1" l="1"/>
  <c r="C12" i="1" l="1"/>
  <c r="C13" i="1" s="1"/>
  <c r="B38" i="1" s="1"/>
  <c r="C25" i="1"/>
  <c r="D18" i="1"/>
  <c r="D20" i="1" s="1"/>
  <c r="C18" i="1"/>
  <c r="C8" i="1"/>
  <c r="C22" i="1" l="1"/>
  <c r="C20" i="1"/>
  <c r="D22" i="1"/>
  <c r="C23" i="1"/>
  <c r="B31" i="1" s="1"/>
  <c r="C24" i="1"/>
  <c r="D25" i="1"/>
  <c r="D27" i="1"/>
  <c r="C19" i="1"/>
  <c r="C26" i="1" s="1"/>
  <c r="D19" i="1"/>
  <c r="C21" i="1"/>
  <c r="D21" i="1"/>
  <c r="C29" i="1" l="1"/>
  <c r="C28" i="1"/>
  <c r="C27" i="1"/>
  <c r="D26" i="1"/>
  <c r="D28" i="1"/>
  <c r="B35" i="1" l="1"/>
  <c r="B3" i="2"/>
  <c r="B4" i="2" l="1"/>
  <c r="B5" i="2" l="1"/>
  <c r="B6" i="2" l="1"/>
  <c r="B7" i="2" l="1"/>
  <c r="B8" i="2" l="1"/>
  <c r="B9" i="2" l="1"/>
  <c r="B10" i="2" l="1"/>
  <c r="B11" i="2" l="1"/>
  <c r="B12" i="2" l="1"/>
  <c r="B13" i="2" l="1"/>
  <c r="H15" i="1" s="1"/>
  <c r="H16" i="1" l="1"/>
  <c r="I19" i="1"/>
  <c r="I26" i="1" s="1"/>
  <c r="H19" i="1"/>
  <c r="H26" i="1" s="1"/>
  <c r="I28" i="1" l="1"/>
  <c r="H23" i="1" l="1"/>
  <c r="G31" i="1" s="1"/>
  <c r="H28" i="1"/>
  <c r="H29" i="1"/>
</calcChain>
</file>

<file path=xl/sharedStrings.xml><?xml version="1.0" encoding="utf-8"?>
<sst xmlns="http://schemas.openxmlformats.org/spreadsheetml/2006/main" count="97" uniqueCount="40">
  <si>
    <t>mm</t>
  </si>
  <si>
    <t>°</t>
  </si>
  <si>
    <t>n</t>
  </si>
  <si>
    <r>
      <t>inv(α</t>
    </r>
    <r>
      <rPr>
        <sz val="8"/>
        <color theme="1"/>
        <rFont val="Arial"/>
        <family val="2"/>
      </rPr>
      <t>b</t>
    </r>
    <r>
      <rPr>
        <sz val="11"/>
        <color theme="1"/>
        <rFont val="Arial"/>
        <family val="2"/>
      </rPr>
      <t>)</t>
    </r>
  </si>
  <si>
    <t>Bemerkungen</t>
  </si>
  <si>
    <t>www.tec-science.com</t>
  </si>
  <si>
    <t>Calculation of the sum of the profile shift coefficients for obtaining 
a certain centre distance</t>
  </si>
  <si>
    <t>pinion</t>
  </si>
  <si>
    <t>gear</t>
  </si>
  <si>
    <t>unit</t>
  </si>
  <si>
    <t>Calculation of the centre distance with given profile shift coefficients</t>
  </si>
  <si>
    <t>Module</t>
  </si>
  <si>
    <t>Number of teeth</t>
  </si>
  <si>
    <t>Standard pressure angle</t>
  </si>
  <si>
    <t>Manufacturing tip tooth clearance</t>
  </si>
  <si>
    <t>Center distance</t>
  </si>
  <si>
    <t>tip shortening</t>
  </si>
  <si>
    <t>Calculation of the sum of the profile shift coefficients</t>
  </si>
  <si>
    <t>Chosen profile shift coefficients</t>
  </si>
  <si>
    <t>Calculated parameters</t>
  </si>
  <si>
    <t>Operating pressure angle</t>
  </si>
  <si>
    <t>Sum of the profile shift coefficients</t>
  </si>
  <si>
    <t>Profile shift coefficients</t>
  </si>
  <si>
    <t>Transmission ratio</t>
  </si>
  <si>
    <t>Standard reference pitch circle diameter</t>
  </si>
  <si>
    <t>Operating pitch circle diameter</t>
  </si>
  <si>
    <t>Addendum circle diameter</t>
  </si>
  <si>
    <t>Dedendum circle diameter</t>
  </si>
  <si>
    <t>Base circle diameter</t>
  </si>
  <si>
    <t>Operating tip tooth clearance</t>
  </si>
  <si>
    <t>Circular pitch at the reference pitch circle</t>
  </si>
  <si>
    <t>Tooth thickness at the reference pitch circle</t>
  </si>
  <si>
    <t>Tooth thickness at the operating pitch circle</t>
  </si>
  <si>
    <t>Tooth thickness at the base circle</t>
  </si>
  <si>
    <t>Tip tooth thickness</t>
  </si>
  <si>
    <t>Contact ratio</t>
  </si>
  <si>
    <t>Remarks</t>
  </si>
  <si>
    <t>Profile shift coefficients to avoid an undercut</t>
  </si>
  <si>
    <t>No</t>
  </si>
  <si>
    <t>All calculations without guarantee!
An undercut is not taken into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</si>
</sst>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quot; &quot;[$€-407];[Red]&quot;-&quot;#,##0.00&quot; &quot;[$€-407]"/>
    <numFmt numFmtId="166" formatCode="0.0000000000"/>
  </numFmts>
  <fonts count="8" x14ac:knownFonts="1">
    <font>
      <sz val="11"/>
      <color theme="1"/>
      <name val="Arial"/>
      <family val="2"/>
    </font>
    <font>
      <b/>
      <i/>
      <sz val="16"/>
      <color theme="1"/>
      <name val="Arial"/>
      <family val="2"/>
    </font>
    <font>
      <b/>
      <i/>
      <u/>
      <sz val="11"/>
      <color theme="1"/>
      <name val="Arial"/>
      <family val="2"/>
    </font>
    <font>
      <b/>
      <sz val="11"/>
      <color theme="1"/>
      <name val="Arial"/>
      <family val="2"/>
    </font>
    <font>
      <sz val="8"/>
      <color theme="1"/>
      <name val="Arial"/>
      <family val="2"/>
    </font>
    <font>
      <sz val="11"/>
      <color theme="1"/>
      <name val="Arial"/>
      <family val="2"/>
    </font>
    <font>
      <u/>
      <sz val="11"/>
      <color theme="10"/>
      <name val="Arial"/>
      <family val="2"/>
    </font>
    <font>
      <sz val="11"/>
      <color theme="0"/>
      <name val="Arial"/>
      <family val="2"/>
    </font>
  </fonts>
  <fills count="8">
    <fill>
      <patternFill patternType="none"/>
    </fill>
    <fill>
      <patternFill patternType="gray125"/>
    </fill>
    <fill>
      <patternFill patternType="solid">
        <fgColor theme="9" tint="0.59999389629810485"/>
        <bgColor indexed="64"/>
      </patternFill>
    </fill>
    <fill>
      <patternFill patternType="solid">
        <fgColor theme="1" tint="0.49998474074526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FF0000"/>
        <bgColor indexed="64"/>
      </patternFill>
    </fill>
    <fill>
      <patternFill patternType="solid">
        <fgColor rgb="FF00B0F0"/>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6">
    <xf numFmtId="0" fontId="0" fillId="0" borderId="0"/>
    <xf numFmtId="0" fontId="1" fillId="0" borderId="0">
      <alignment horizontal="center"/>
    </xf>
    <xf numFmtId="0" fontId="1" fillId="0" borderId="0">
      <alignment horizontal="center" textRotation="90"/>
    </xf>
    <xf numFmtId="0" fontId="2" fillId="0" borderId="0"/>
    <xf numFmtId="165" fontId="2" fillId="0" borderId="0"/>
    <xf numFmtId="0" fontId="6" fillId="0" borderId="0" applyNumberFormat="0" applyFill="0" applyBorder="0" applyAlignment="0" applyProtection="0"/>
  </cellStyleXfs>
  <cellXfs count="61">
    <xf numFmtId="0" fontId="0" fillId="0" borderId="0" xfId="0"/>
    <xf numFmtId="2" fontId="0" fillId="0" borderId="0" xfId="0" applyNumberFormat="1"/>
    <xf numFmtId="1" fontId="0" fillId="0" borderId="0" xfId="0" applyNumberFormat="1"/>
    <xf numFmtId="166" fontId="0" fillId="0" borderId="0" xfId="0" applyNumberFormat="1"/>
    <xf numFmtId="2" fontId="3" fillId="0" borderId="0" xfId="0" applyNumberFormat="1" applyFont="1"/>
    <xf numFmtId="0" fontId="3" fillId="0" borderId="0" xfId="0" applyFont="1"/>
    <xf numFmtId="2" fontId="0" fillId="0" borderId="0" xfId="0" applyNumberFormat="1" applyAlignment="1">
      <alignment horizontal="right"/>
    </xf>
    <xf numFmtId="2" fontId="0" fillId="0" borderId="0" xfId="0" applyNumberFormat="1" applyAlignment="1">
      <alignment vertical="top" wrapText="1"/>
    </xf>
    <xf numFmtId="1" fontId="3" fillId="4" borderId="0" xfId="0" applyNumberFormat="1" applyFont="1" applyFill="1" applyAlignment="1">
      <alignment horizontal="center"/>
    </xf>
    <xf numFmtId="2" fontId="0" fillId="2" borderId="9" xfId="0" applyNumberFormat="1" applyFill="1" applyBorder="1"/>
    <xf numFmtId="0" fontId="0" fillId="2" borderId="9" xfId="0" applyFill="1" applyBorder="1"/>
    <xf numFmtId="2" fontId="0" fillId="5" borderId="9" xfId="0" applyNumberFormat="1" applyFill="1" applyBorder="1"/>
    <xf numFmtId="2" fontId="3" fillId="4" borderId="9" xfId="0" applyNumberFormat="1" applyFont="1" applyFill="1" applyBorder="1"/>
    <xf numFmtId="0" fontId="0" fillId="5" borderId="9" xfId="0" applyFill="1" applyBorder="1"/>
    <xf numFmtId="2" fontId="0" fillId="4" borderId="9" xfId="0" applyNumberFormat="1" applyFill="1" applyBorder="1"/>
    <xf numFmtId="1" fontId="0" fillId="2" borderId="9" xfId="0" applyNumberFormat="1" applyFill="1" applyBorder="1" applyAlignment="1">
      <alignment horizontal="center"/>
    </xf>
    <xf numFmtId="1" fontId="3" fillId="4" borderId="4" xfId="0" applyNumberFormat="1" applyFont="1" applyFill="1" applyBorder="1" applyAlignment="1">
      <alignment horizontal="center"/>
    </xf>
    <xf numFmtId="164" fontId="0" fillId="5" borderId="4" xfId="0" applyNumberFormat="1" applyFill="1" applyBorder="1" applyAlignment="1">
      <alignment horizontal="center"/>
    </xf>
    <xf numFmtId="164" fontId="0" fillId="5" borderId="0" xfId="0" applyNumberFormat="1" applyFill="1" applyAlignment="1">
      <alignment horizontal="center"/>
    </xf>
    <xf numFmtId="2" fontId="7" fillId="3" borderId="0" xfId="0" applyNumberFormat="1" applyFont="1" applyFill="1" applyAlignment="1">
      <alignment horizontal="left"/>
    </xf>
    <xf numFmtId="2" fontId="7" fillId="3" borderId="5" xfId="0" applyNumberFormat="1" applyFont="1" applyFill="1" applyBorder="1" applyAlignment="1">
      <alignment horizontal="left"/>
    </xf>
    <xf numFmtId="164" fontId="0" fillId="5" borderId="9" xfId="0" applyNumberFormat="1" applyFill="1" applyBorder="1" applyAlignment="1">
      <alignment vertical="center"/>
    </xf>
    <xf numFmtId="2" fontId="0" fillId="5" borderId="9" xfId="0" applyNumberFormat="1" applyFill="1" applyBorder="1" applyAlignment="1">
      <alignment wrapText="1"/>
    </xf>
    <xf numFmtId="164" fontId="0" fillId="5" borderId="9" xfId="0" applyNumberFormat="1" applyFill="1" applyBorder="1" applyAlignment="1">
      <alignment horizontal="center"/>
    </xf>
    <xf numFmtId="2" fontId="0" fillId="5" borderId="4" xfId="0" applyNumberFormat="1" applyFill="1" applyBorder="1" applyAlignment="1">
      <alignment vertical="top" wrapText="1"/>
    </xf>
    <xf numFmtId="2" fontId="0" fillId="5" borderId="0" xfId="0" applyNumberFormat="1" applyFill="1" applyAlignment="1">
      <alignment vertical="top" wrapText="1"/>
    </xf>
    <xf numFmtId="2" fontId="0" fillId="5" borderId="5" xfId="0" applyNumberFormat="1" applyFill="1" applyBorder="1" applyAlignment="1">
      <alignment vertical="top" wrapText="1"/>
    </xf>
    <xf numFmtId="1" fontId="0" fillId="2" borderId="0" xfId="0" applyNumberFormat="1" applyFill="1" applyAlignment="1" applyProtection="1">
      <alignment horizontal="center"/>
      <protection locked="0"/>
    </xf>
    <xf numFmtId="1" fontId="0" fillId="2" borderId="4" xfId="0" applyNumberFormat="1" applyFill="1" applyBorder="1" applyAlignment="1" applyProtection="1">
      <alignment horizontal="center"/>
      <protection locked="0"/>
    </xf>
    <xf numFmtId="164" fontId="0" fillId="2" borderId="0" xfId="0" applyNumberFormat="1" applyFill="1" applyAlignment="1" applyProtection="1">
      <alignment horizontal="center" vertical="center"/>
      <protection locked="0"/>
    </xf>
    <xf numFmtId="164" fontId="0" fillId="2" borderId="4" xfId="0" applyNumberFormat="1" applyFill="1" applyBorder="1" applyAlignment="1" applyProtection="1">
      <alignment horizontal="left" vertical="center"/>
      <protection locked="0"/>
    </xf>
    <xf numFmtId="2" fontId="7" fillId="3" borderId="4" xfId="0" applyNumberFormat="1" applyFont="1" applyFill="1" applyBorder="1" applyAlignment="1">
      <alignment horizontal="left"/>
    </xf>
    <xf numFmtId="2" fontId="7" fillId="6" borderId="0" xfId="0" applyNumberFormat="1" applyFont="1" applyFill="1" applyAlignment="1">
      <alignment horizontal="center" vertical="center"/>
    </xf>
    <xf numFmtId="2" fontId="0" fillId="2" borderId="0" xfId="0" applyNumberFormat="1" applyFill="1" applyAlignment="1" applyProtection="1">
      <alignment horizontal="center"/>
      <protection locked="0"/>
    </xf>
    <xf numFmtId="2" fontId="7" fillId="3" borderId="4" xfId="0" applyNumberFormat="1" applyFont="1" applyFill="1" applyBorder="1" applyAlignment="1">
      <alignment horizontal="left"/>
    </xf>
    <xf numFmtId="2" fontId="7" fillId="3" borderId="0" xfId="0" applyNumberFormat="1" applyFont="1" applyFill="1" applyAlignment="1">
      <alignment horizontal="left"/>
    </xf>
    <xf numFmtId="2" fontId="7" fillId="3" borderId="5" xfId="0" applyNumberFormat="1" applyFont="1" applyFill="1" applyBorder="1" applyAlignment="1">
      <alignment horizontal="left"/>
    </xf>
    <xf numFmtId="2" fontId="0" fillId="5" borderId="0" xfId="0" applyNumberFormat="1" applyFill="1" applyAlignment="1">
      <alignment horizontal="center"/>
    </xf>
    <xf numFmtId="2" fontId="0" fillId="5" borderId="4" xfId="0" applyNumberFormat="1" applyFill="1" applyBorder="1" applyAlignment="1">
      <alignment horizontal="left" vertical="top" wrapText="1"/>
    </xf>
    <xf numFmtId="2" fontId="0" fillId="5" borderId="0" xfId="0" applyNumberFormat="1" applyFill="1" applyAlignment="1">
      <alignment horizontal="left" vertical="top" wrapText="1"/>
    </xf>
    <xf numFmtId="2" fontId="0" fillId="5" borderId="5" xfId="0" applyNumberFormat="1" applyFill="1" applyBorder="1" applyAlignment="1">
      <alignment horizontal="left" vertical="top" wrapText="1"/>
    </xf>
    <xf numFmtId="164" fontId="0" fillId="5" borderId="0" xfId="0" applyNumberFormat="1" applyFill="1" applyAlignment="1">
      <alignment horizontal="center"/>
    </xf>
    <xf numFmtId="2" fontId="0" fillId="5" borderId="9" xfId="0" applyNumberFormat="1" applyFill="1" applyBorder="1" applyAlignment="1">
      <alignment horizontal="left" vertical="top" wrapText="1"/>
    </xf>
    <xf numFmtId="164" fontId="0" fillId="5" borderId="4" xfId="0" applyNumberFormat="1" applyFill="1" applyBorder="1" applyAlignment="1">
      <alignment horizontal="center"/>
    </xf>
    <xf numFmtId="164" fontId="0" fillId="5" borderId="5" xfId="0" applyNumberFormat="1" applyFill="1" applyBorder="1" applyAlignment="1">
      <alignment horizontal="center"/>
    </xf>
    <xf numFmtId="2" fontId="0" fillId="5" borderId="4" xfId="0" applyNumberFormat="1" applyFill="1" applyBorder="1" applyAlignment="1">
      <alignment horizontal="center"/>
    </xf>
    <xf numFmtId="2" fontId="0" fillId="5" borderId="5" xfId="0" applyNumberFormat="1" applyFill="1" applyBorder="1" applyAlignment="1">
      <alignment horizontal="center"/>
    </xf>
    <xf numFmtId="2" fontId="5" fillId="7" borderId="1" xfId="5" applyNumberFormat="1" applyFont="1" applyFill="1" applyBorder="1" applyAlignment="1">
      <alignment horizontal="center"/>
    </xf>
    <xf numFmtId="2" fontId="0" fillId="7" borderId="2" xfId="0" applyNumberFormat="1" applyFill="1" applyBorder="1" applyAlignment="1">
      <alignment horizontal="center"/>
    </xf>
    <xf numFmtId="2" fontId="0" fillId="7" borderId="3" xfId="0" applyNumberFormat="1" applyFill="1" applyBorder="1" applyAlignment="1">
      <alignment horizontal="center"/>
    </xf>
    <xf numFmtId="2" fontId="7" fillId="3" borderId="4" xfId="0" applyNumberFormat="1" applyFont="1" applyFill="1" applyBorder="1" applyAlignment="1">
      <alignment horizontal="left" vertical="center" wrapText="1"/>
    </xf>
    <xf numFmtId="2" fontId="7" fillId="3" borderId="0" xfId="0" applyNumberFormat="1" applyFont="1" applyFill="1" applyAlignment="1">
      <alignment horizontal="left" vertical="center" wrapText="1"/>
    </xf>
    <xf numFmtId="2" fontId="7" fillId="3" borderId="5" xfId="0" applyNumberFormat="1" applyFont="1" applyFill="1" applyBorder="1" applyAlignment="1">
      <alignment horizontal="left" vertical="center" wrapText="1"/>
    </xf>
    <xf numFmtId="164" fontId="0" fillId="2" borderId="0" xfId="0" applyNumberFormat="1" applyFill="1" applyAlignment="1" applyProtection="1">
      <alignment horizontal="center" vertical="center"/>
      <protection locked="0"/>
    </xf>
    <xf numFmtId="164" fontId="0" fillId="2" borderId="0" xfId="0" applyNumberFormat="1" applyFill="1" applyAlignment="1" applyProtection="1">
      <alignment horizontal="center"/>
      <protection locked="0"/>
    </xf>
    <xf numFmtId="2" fontId="0" fillId="3" borderId="6" xfId="0" applyNumberFormat="1" applyFill="1" applyBorder="1" applyAlignment="1">
      <alignment horizontal="left"/>
    </xf>
    <xf numFmtId="2" fontId="0" fillId="3" borderId="7" xfId="0" applyNumberFormat="1" applyFill="1" applyBorder="1" applyAlignment="1">
      <alignment horizontal="left"/>
    </xf>
    <xf numFmtId="2" fontId="0" fillId="3" borderId="8" xfId="0" applyNumberFormat="1" applyFill="1" applyBorder="1" applyAlignment="1">
      <alignment horizontal="left"/>
    </xf>
    <xf numFmtId="2" fontId="7" fillId="3" borderId="0" xfId="0" applyNumberFormat="1" applyFont="1" applyFill="1" applyAlignment="1">
      <alignment horizontal="left" vertical="center"/>
    </xf>
    <xf numFmtId="2" fontId="7" fillId="3" borderId="5" xfId="0" applyNumberFormat="1" applyFont="1" applyFill="1" applyBorder="1" applyAlignment="1">
      <alignment horizontal="left" vertical="center"/>
    </xf>
    <xf numFmtId="2" fontId="7" fillId="6" borderId="0" xfId="0" applyNumberFormat="1" applyFont="1" applyFill="1" applyAlignment="1">
      <alignment horizontal="center" vertical="center" wrapText="1"/>
    </xf>
  </cellXfs>
  <cellStyles count="6">
    <cellStyle name="Heading" xfId="1" xr:uid="{00000000-0005-0000-0000-000000000000}"/>
    <cellStyle name="Heading1" xfId="2" xr:uid="{00000000-0005-0000-0000-000001000000}"/>
    <cellStyle name="Link" xfId="5" builtinId="8"/>
    <cellStyle name="Result" xfId="3" xr:uid="{00000000-0005-0000-0000-000003000000}"/>
    <cellStyle name="Result2" xfId="4" xr:uid="{00000000-0005-0000-0000-000004000000}"/>
    <cellStyle name="Standard"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c-science.com/" TargetMode="External"/><Relationship Id="rId2" Type="http://schemas.openxmlformats.org/officeDocument/2006/relationships/hyperlink" Target="http://www.tec-science.com/"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MF41"/>
  <sheetViews>
    <sheetView tabSelected="1" zoomScale="115" zoomScaleNormal="115" workbookViewId="0"/>
  </sheetViews>
  <sheetFormatPr baseColWidth="10" defaultRowHeight="14.25" x14ac:dyDescent="0.2"/>
  <cols>
    <col min="1" max="1" width="3.25" customWidth="1"/>
    <col min="2" max="2" width="39" style="1" customWidth="1"/>
    <col min="3" max="3" width="9.625" style="6" customWidth="1"/>
    <col min="4" max="4" width="9.75" style="6" bestFit="1" customWidth="1"/>
    <col min="5" max="5" width="6.375" style="1" bestFit="1" customWidth="1"/>
    <col min="6" max="6" width="2.625" style="1" customWidth="1"/>
    <col min="7" max="7" width="37.125" style="1" bestFit="1" customWidth="1"/>
    <col min="8" max="8" width="7.375" style="1" bestFit="1" customWidth="1"/>
    <col min="9" max="9" width="9.75" style="1" bestFit="1" customWidth="1"/>
    <col min="10" max="10" width="6.375" style="1" bestFit="1" customWidth="1"/>
    <col min="11" max="11" width="4" style="1" customWidth="1"/>
    <col min="12" max="1020" width="10.625" style="1" customWidth="1"/>
  </cols>
  <sheetData>
    <row r="2" spans="2:1020" x14ac:dyDescent="0.2">
      <c r="B2" s="47" t="s">
        <v>5</v>
      </c>
      <c r="C2" s="48"/>
      <c r="D2" s="48"/>
      <c r="E2" s="49"/>
      <c r="G2" s="47" t="s">
        <v>5</v>
      </c>
      <c r="H2" s="48"/>
      <c r="I2" s="48"/>
      <c r="J2" s="49"/>
    </row>
    <row r="3" spans="2:1020" ht="33.75" customHeight="1" x14ac:dyDescent="0.2">
      <c r="B3" s="50" t="s">
        <v>6</v>
      </c>
      <c r="C3" s="58"/>
      <c r="D3" s="58"/>
      <c r="E3" s="59"/>
      <c r="G3" s="50" t="s">
        <v>10</v>
      </c>
      <c r="H3" s="51"/>
      <c r="I3" s="51"/>
      <c r="J3" s="52"/>
      <c r="L3" s="60" t="s">
        <v>39</v>
      </c>
      <c r="M3" s="32"/>
      <c r="N3" s="32"/>
    </row>
    <row r="4" spans="2:1020" s="5" customFormat="1" ht="15" x14ac:dyDescent="0.25">
      <c r="B4" s="12"/>
      <c r="C4" s="8" t="s">
        <v>7</v>
      </c>
      <c r="D4" s="16" t="s">
        <v>8</v>
      </c>
      <c r="E4" s="14" t="s">
        <v>9</v>
      </c>
      <c r="F4" s="4"/>
      <c r="G4" s="12"/>
      <c r="H4" s="8" t="s">
        <v>7</v>
      </c>
      <c r="I4" s="16" t="s">
        <v>8</v>
      </c>
      <c r="J4" s="14" t="s">
        <v>9</v>
      </c>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c r="UL4" s="4"/>
      <c r="UM4" s="4"/>
      <c r="UN4" s="4"/>
      <c r="UO4" s="4"/>
      <c r="UP4" s="4"/>
      <c r="UQ4" s="4"/>
      <c r="UR4" s="4"/>
      <c r="US4" s="4"/>
      <c r="UT4" s="4"/>
      <c r="UU4" s="4"/>
      <c r="UV4" s="4"/>
      <c r="UW4" s="4"/>
      <c r="UX4" s="4"/>
      <c r="UY4" s="4"/>
      <c r="UZ4" s="4"/>
      <c r="VA4" s="4"/>
      <c r="VB4" s="4"/>
      <c r="VC4" s="4"/>
      <c r="VD4" s="4"/>
      <c r="VE4" s="4"/>
      <c r="VF4" s="4"/>
      <c r="VG4" s="4"/>
      <c r="VH4" s="4"/>
      <c r="VI4" s="4"/>
      <c r="VJ4" s="4"/>
      <c r="VK4" s="4"/>
      <c r="VL4" s="4"/>
      <c r="VM4" s="4"/>
      <c r="VN4" s="4"/>
      <c r="VO4" s="4"/>
      <c r="VP4" s="4"/>
      <c r="VQ4" s="4"/>
      <c r="VR4" s="4"/>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c r="ZC4" s="4"/>
      <c r="ZD4" s="4"/>
      <c r="ZE4" s="4"/>
      <c r="ZF4" s="4"/>
      <c r="ZG4" s="4"/>
      <c r="ZH4" s="4"/>
      <c r="ZI4" s="4"/>
      <c r="ZJ4" s="4"/>
      <c r="ZK4" s="4"/>
      <c r="ZL4" s="4"/>
      <c r="ZM4" s="4"/>
      <c r="ZN4" s="4"/>
      <c r="ZO4" s="4"/>
      <c r="ZP4" s="4"/>
      <c r="ZQ4" s="4"/>
      <c r="ZR4" s="4"/>
      <c r="ZS4" s="4"/>
      <c r="ZT4" s="4"/>
      <c r="ZU4" s="4"/>
      <c r="ZV4" s="4"/>
      <c r="ZW4" s="4"/>
      <c r="ZX4" s="4"/>
      <c r="ZY4" s="4"/>
      <c r="ZZ4" s="4"/>
      <c r="AAA4" s="4"/>
      <c r="AAB4" s="4"/>
      <c r="AAC4" s="4"/>
      <c r="AAD4" s="4"/>
      <c r="AAE4" s="4"/>
      <c r="AAF4" s="4"/>
      <c r="AAG4" s="4"/>
      <c r="AAH4" s="4"/>
      <c r="AAI4" s="4"/>
      <c r="AAJ4" s="4"/>
      <c r="AAK4" s="4"/>
      <c r="AAL4" s="4"/>
      <c r="AAM4" s="4"/>
      <c r="AAN4" s="4"/>
      <c r="AAO4" s="4"/>
      <c r="AAP4" s="4"/>
      <c r="AAQ4" s="4"/>
      <c r="AAR4" s="4"/>
      <c r="AAS4" s="4"/>
      <c r="AAT4" s="4"/>
      <c r="AAU4" s="4"/>
      <c r="AAV4" s="4"/>
      <c r="AAW4" s="4"/>
      <c r="AAX4" s="4"/>
      <c r="AAY4" s="4"/>
      <c r="AAZ4" s="4"/>
      <c r="ABA4" s="4"/>
      <c r="ABB4" s="4"/>
      <c r="ABC4" s="4"/>
      <c r="ABD4" s="4"/>
      <c r="ABE4" s="4"/>
      <c r="ABF4" s="4"/>
      <c r="ABG4" s="4"/>
      <c r="ABH4" s="4"/>
      <c r="ABI4" s="4"/>
      <c r="ABJ4" s="4"/>
      <c r="ABK4" s="4"/>
      <c r="ABL4" s="4"/>
      <c r="ABM4" s="4"/>
      <c r="ABN4" s="4"/>
      <c r="ABO4" s="4"/>
      <c r="ABP4" s="4"/>
      <c r="ABQ4" s="4"/>
      <c r="ABR4" s="4"/>
      <c r="ABS4" s="4"/>
      <c r="ABT4" s="4"/>
      <c r="ABU4" s="4"/>
      <c r="ABV4" s="4"/>
      <c r="ABW4" s="4"/>
      <c r="ABX4" s="4"/>
      <c r="ABY4" s="4"/>
      <c r="ABZ4" s="4"/>
      <c r="ACA4" s="4"/>
      <c r="ACB4" s="4"/>
      <c r="ACC4" s="4"/>
      <c r="ACD4" s="4"/>
      <c r="ACE4" s="4"/>
      <c r="ACF4" s="4"/>
      <c r="ACG4" s="4"/>
      <c r="ACH4" s="4"/>
      <c r="ACI4" s="4"/>
      <c r="ACJ4" s="4"/>
      <c r="ACK4" s="4"/>
      <c r="ACL4" s="4"/>
      <c r="ACM4" s="4"/>
      <c r="ACN4" s="4"/>
      <c r="ACO4" s="4"/>
      <c r="ACP4" s="4"/>
      <c r="ACQ4" s="4"/>
      <c r="ACR4" s="4"/>
      <c r="ACS4" s="4"/>
      <c r="ACT4" s="4"/>
      <c r="ACU4" s="4"/>
      <c r="ACV4" s="4"/>
      <c r="ACW4" s="4"/>
      <c r="ACX4" s="4"/>
      <c r="ACY4" s="4"/>
      <c r="ACZ4" s="4"/>
      <c r="ADA4" s="4"/>
      <c r="ADB4" s="4"/>
      <c r="ADC4" s="4"/>
      <c r="ADD4" s="4"/>
      <c r="ADE4" s="4"/>
      <c r="ADF4" s="4"/>
      <c r="ADG4" s="4"/>
      <c r="ADH4" s="4"/>
      <c r="ADI4" s="4"/>
      <c r="ADJ4" s="4"/>
      <c r="ADK4" s="4"/>
      <c r="ADL4" s="4"/>
      <c r="ADM4" s="4"/>
      <c r="ADN4" s="4"/>
      <c r="ADO4" s="4"/>
      <c r="ADP4" s="4"/>
      <c r="ADQ4" s="4"/>
      <c r="ADR4" s="4"/>
      <c r="ADS4" s="4"/>
      <c r="ADT4" s="4"/>
      <c r="ADU4" s="4"/>
      <c r="ADV4" s="4"/>
      <c r="ADW4" s="4"/>
      <c r="ADX4" s="4"/>
      <c r="ADY4" s="4"/>
      <c r="ADZ4" s="4"/>
      <c r="AEA4" s="4"/>
      <c r="AEB4" s="4"/>
      <c r="AEC4" s="4"/>
      <c r="AED4" s="4"/>
      <c r="AEE4" s="4"/>
      <c r="AEF4" s="4"/>
      <c r="AEG4" s="4"/>
      <c r="AEH4" s="4"/>
      <c r="AEI4" s="4"/>
      <c r="AEJ4" s="4"/>
      <c r="AEK4" s="4"/>
      <c r="AEL4" s="4"/>
      <c r="AEM4" s="4"/>
      <c r="AEN4" s="4"/>
      <c r="AEO4" s="4"/>
      <c r="AEP4" s="4"/>
      <c r="AEQ4" s="4"/>
      <c r="AER4" s="4"/>
      <c r="AES4" s="4"/>
      <c r="AET4" s="4"/>
      <c r="AEU4" s="4"/>
      <c r="AEV4" s="4"/>
      <c r="AEW4" s="4"/>
      <c r="AEX4" s="4"/>
      <c r="AEY4" s="4"/>
      <c r="AEZ4" s="4"/>
      <c r="AFA4" s="4"/>
      <c r="AFB4" s="4"/>
      <c r="AFC4" s="4"/>
      <c r="AFD4" s="4"/>
      <c r="AFE4" s="4"/>
      <c r="AFF4" s="4"/>
      <c r="AFG4" s="4"/>
      <c r="AFH4" s="4"/>
      <c r="AFI4" s="4"/>
      <c r="AFJ4" s="4"/>
      <c r="AFK4" s="4"/>
      <c r="AFL4" s="4"/>
      <c r="AFM4" s="4"/>
      <c r="AFN4" s="4"/>
      <c r="AFO4" s="4"/>
      <c r="AFP4" s="4"/>
      <c r="AFQ4" s="4"/>
      <c r="AFR4" s="4"/>
      <c r="AFS4" s="4"/>
      <c r="AFT4" s="4"/>
      <c r="AFU4" s="4"/>
      <c r="AFV4" s="4"/>
      <c r="AFW4" s="4"/>
      <c r="AFX4" s="4"/>
      <c r="AFY4" s="4"/>
      <c r="AFZ4" s="4"/>
      <c r="AGA4" s="4"/>
      <c r="AGB4" s="4"/>
      <c r="AGC4" s="4"/>
      <c r="AGD4" s="4"/>
      <c r="AGE4" s="4"/>
      <c r="AGF4" s="4"/>
      <c r="AGG4" s="4"/>
      <c r="AGH4" s="4"/>
      <c r="AGI4" s="4"/>
      <c r="AGJ4" s="4"/>
      <c r="AGK4" s="4"/>
      <c r="AGL4" s="4"/>
      <c r="AGM4" s="4"/>
      <c r="AGN4" s="4"/>
      <c r="AGO4" s="4"/>
      <c r="AGP4" s="4"/>
      <c r="AGQ4" s="4"/>
      <c r="AGR4" s="4"/>
      <c r="AGS4" s="4"/>
      <c r="AGT4" s="4"/>
      <c r="AGU4" s="4"/>
      <c r="AGV4" s="4"/>
      <c r="AGW4" s="4"/>
      <c r="AGX4" s="4"/>
      <c r="AGY4" s="4"/>
      <c r="AGZ4" s="4"/>
      <c r="AHA4" s="4"/>
      <c r="AHB4" s="4"/>
      <c r="AHC4" s="4"/>
      <c r="AHD4" s="4"/>
      <c r="AHE4" s="4"/>
      <c r="AHF4" s="4"/>
      <c r="AHG4" s="4"/>
      <c r="AHH4" s="4"/>
      <c r="AHI4" s="4"/>
      <c r="AHJ4" s="4"/>
      <c r="AHK4" s="4"/>
      <c r="AHL4" s="4"/>
      <c r="AHM4" s="4"/>
      <c r="AHN4" s="4"/>
      <c r="AHO4" s="4"/>
      <c r="AHP4" s="4"/>
      <c r="AHQ4" s="4"/>
      <c r="AHR4" s="4"/>
      <c r="AHS4" s="4"/>
      <c r="AHT4" s="4"/>
      <c r="AHU4" s="4"/>
      <c r="AHV4" s="4"/>
      <c r="AHW4" s="4"/>
      <c r="AHX4" s="4"/>
      <c r="AHY4" s="4"/>
      <c r="AHZ4" s="4"/>
      <c r="AIA4" s="4"/>
      <c r="AIB4" s="4"/>
      <c r="AIC4" s="4"/>
      <c r="AID4" s="4"/>
      <c r="AIE4" s="4"/>
      <c r="AIF4" s="4"/>
      <c r="AIG4" s="4"/>
      <c r="AIH4" s="4"/>
      <c r="AII4" s="4"/>
      <c r="AIJ4" s="4"/>
      <c r="AIK4" s="4"/>
      <c r="AIL4" s="4"/>
      <c r="AIM4" s="4"/>
      <c r="AIN4" s="4"/>
      <c r="AIO4" s="4"/>
      <c r="AIP4" s="4"/>
      <c r="AIQ4" s="4"/>
      <c r="AIR4" s="4"/>
      <c r="AIS4" s="4"/>
      <c r="AIT4" s="4"/>
      <c r="AIU4" s="4"/>
      <c r="AIV4" s="4"/>
      <c r="AIW4" s="4"/>
      <c r="AIX4" s="4"/>
      <c r="AIY4" s="4"/>
      <c r="AIZ4" s="4"/>
      <c r="AJA4" s="4"/>
      <c r="AJB4" s="4"/>
      <c r="AJC4" s="4"/>
      <c r="AJD4" s="4"/>
      <c r="AJE4" s="4"/>
      <c r="AJF4" s="4"/>
      <c r="AJG4" s="4"/>
      <c r="AJH4" s="4"/>
      <c r="AJI4" s="4"/>
      <c r="AJJ4" s="4"/>
      <c r="AJK4" s="4"/>
      <c r="AJL4" s="4"/>
      <c r="AJM4" s="4"/>
      <c r="AJN4" s="4"/>
      <c r="AJO4" s="4"/>
      <c r="AJP4" s="4"/>
      <c r="AJQ4" s="4"/>
      <c r="AJR4" s="4"/>
      <c r="AJS4" s="4"/>
      <c r="AJT4" s="4"/>
      <c r="AJU4" s="4"/>
      <c r="AJV4" s="4"/>
      <c r="AJW4" s="4"/>
      <c r="AJX4" s="4"/>
      <c r="AJY4" s="4"/>
      <c r="AJZ4" s="4"/>
      <c r="AKA4" s="4"/>
      <c r="AKB4" s="4"/>
      <c r="AKC4" s="4"/>
      <c r="AKD4" s="4"/>
      <c r="AKE4" s="4"/>
      <c r="AKF4" s="4"/>
      <c r="AKG4" s="4"/>
      <c r="AKH4" s="4"/>
      <c r="AKI4" s="4"/>
      <c r="AKJ4" s="4"/>
      <c r="AKK4" s="4"/>
      <c r="AKL4" s="4"/>
      <c r="AKM4" s="4"/>
      <c r="AKN4" s="4"/>
      <c r="AKO4" s="4"/>
      <c r="AKP4" s="4"/>
      <c r="AKQ4" s="4"/>
      <c r="AKR4" s="4"/>
      <c r="AKS4" s="4"/>
      <c r="AKT4" s="4"/>
      <c r="AKU4" s="4"/>
      <c r="AKV4" s="4"/>
      <c r="AKW4" s="4"/>
      <c r="AKX4" s="4"/>
      <c r="AKY4" s="4"/>
      <c r="AKZ4" s="4"/>
      <c r="ALA4" s="4"/>
      <c r="ALB4" s="4"/>
      <c r="ALC4" s="4"/>
      <c r="ALD4" s="4"/>
      <c r="ALE4" s="4"/>
      <c r="ALF4" s="4"/>
      <c r="ALG4" s="4"/>
      <c r="ALH4" s="4"/>
      <c r="ALI4" s="4"/>
      <c r="ALJ4" s="4"/>
      <c r="ALK4" s="4"/>
      <c r="ALL4" s="4"/>
      <c r="ALM4" s="4"/>
      <c r="ALN4" s="4"/>
      <c r="ALO4" s="4"/>
      <c r="ALP4" s="4"/>
      <c r="ALQ4" s="4"/>
      <c r="ALR4" s="4"/>
      <c r="ALS4" s="4"/>
      <c r="ALT4" s="4"/>
      <c r="ALU4" s="4"/>
      <c r="ALV4" s="4"/>
      <c r="ALW4" s="4"/>
      <c r="ALX4" s="4"/>
      <c r="ALY4" s="4"/>
      <c r="ALZ4" s="4"/>
      <c r="AMA4" s="4"/>
      <c r="AMB4" s="4"/>
      <c r="AMC4" s="4"/>
      <c r="AMD4" s="4"/>
      <c r="AME4" s="4"/>
      <c r="AMF4" s="4"/>
    </row>
    <row r="5" spans="2:1020" x14ac:dyDescent="0.2">
      <c r="B5" s="9" t="s">
        <v>12</v>
      </c>
      <c r="C5" s="27">
        <v>22</v>
      </c>
      <c r="D5" s="28">
        <v>87</v>
      </c>
      <c r="E5" s="15"/>
      <c r="G5" s="9" t="s">
        <v>12</v>
      </c>
      <c r="H5" s="27">
        <v>22</v>
      </c>
      <c r="I5" s="28">
        <v>87</v>
      </c>
      <c r="J5" s="15"/>
    </row>
    <row r="6" spans="2:1020" x14ac:dyDescent="0.2">
      <c r="B6" s="9" t="s">
        <v>11</v>
      </c>
      <c r="C6" s="53">
        <v>2.5</v>
      </c>
      <c r="D6" s="53"/>
      <c r="E6" s="9" t="s">
        <v>0</v>
      </c>
      <c r="G6" s="9" t="s">
        <v>11</v>
      </c>
      <c r="H6" s="53">
        <v>2.5</v>
      </c>
      <c r="I6" s="53"/>
      <c r="J6" s="9" t="s">
        <v>0</v>
      </c>
    </row>
    <row r="7" spans="2:1020" x14ac:dyDescent="0.2">
      <c r="B7" s="9" t="s">
        <v>13</v>
      </c>
      <c r="C7" s="53">
        <v>20</v>
      </c>
      <c r="D7" s="53"/>
      <c r="E7" s="9" t="s">
        <v>1</v>
      </c>
      <c r="G7" s="9" t="s">
        <v>13</v>
      </c>
      <c r="H7" s="53">
        <v>20</v>
      </c>
      <c r="I7" s="53"/>
      <c r="J7" s="9" t="s">
        <v>1</v>
      </c>
    </row>
    <row r="8" spans="2:1020" x14ac:dyDescent="0.2">
      <c r="B8" s="10" t="s">
        <v>14</v>
      </c>
      <c r="C8" s="54">
        <f>0.167*$C$6</f>
        <v>0.41750000000000004</v>
      </c>
      <c r="D8" s="54"/>
      <c r="E8" s="9" t="s">
        <v>0</v>
      </c>
      <c r="G8" s="10" t="s">
        <v>14</v>
      </c>
      <c r="H8" s="54">
        <f>0.167*$H$6</f>
        <v>0.41750000000000004</v>
      </c>
      <c r="I8" s="54"/>
      <c r="J8" s="9" t="s">
        <v>0</v>
      </c>
    </row>
    <row r="9" spans="2:1020" x14ac:dyDescent="0.2">
      <c r="B9" s="9" t="s">
        <v>15</v>
      </c>
      <c r="C9" s="54">
        <v>138</v>
      </c>
      <c r="D9" s="54"/>
      <c r="E9" s="9" t="s">
        <v>0</v>
      </c>
      <c r="G9" s="9" t="s">
        <v>22</v>
      </c>
      <c r="H9" s="29">
        <v>0</v>
      </c>
      <c r="I9" s="30">
        <v>0</v>
      </c>
      <c r="J9" s="9"/>
    </row>
    <row r="10" spans="2:1020" x14ac:dyDescent="0.2">
      <c r="B10" s="9" t="s">
        <v>16</v>
      </c>
      <c r="C10" s="33" t="s">
        <v>38</v>
      </c>
      <c r="D10" s="33"/>
      <c r="E10" s="9"/>
      <c r="G10" s="9" t="s">
        <v>16</v>
      </c>
      <c r="H10" s="33" t="s">
        <v>38</v>
      </c>
      <c r="I10" s="33"/>
      <c r="J10" s="9"/>
    </row>
    <row r="11" spans="2:1020" x14ac:dyDescent="0.2">
      <c r="B11" s="31" t="s">
        <v>17</v>
      </c>
      <c r="C11" s="19"/>
      <c r="D11" s="19"/>
      <c r="E11" s="20"/>
      <c r="G11" s="34" t="s">
        <v>19</v>
      </c>
      <c r="H11" s="35"/>
      <c r="I11" s="35"/>
      <c r="J11" s="36"/>
    </row>
    <row r="12" spans="2:1020" ht="14.25" customHeight="1" x14ac:dyDescent="0.2">
      <c r="B12" s="11" t="s">
        <v>20</v>
      </c>
      <c r="C12" s="45">
        <f>DEGREES(ACOS(C6*(C5+D5)*COS(RADIANS(C7))/(2*C9)))</f>
        <v>21.909218783287375</v>
      </c>
      <c r="D12" s="46"/>
      <c r="E12" s="11" t="s">
        <v>1</v>
      </c>
      <c r="G12" s="42" t="s">
        <v>37</v>
      </c>
      <c r="H12" s="23">
        <f>1-H5/14</f>
        <v>-0.5714285714285714</v>
      </c>
      <c r="I12" s="23">
        <f>1-I5/14</f>
        <v>-5.2142857142857144</v>
      </c>
      <c r="J12" s="11"/>
    </row>
    <row r="13" spans="2:1020" ht="14.25" customHeight="1" x14ac:dyDescent="0.2">
      <c r="B13" s="11" t="s">
        <v>21</v>
      </c>
      <c r="C13" s="43">
        <f>((TAN(RADIANS(C12))-RADIANS(C12))-(TAN(RADIANS(C7))-RADIANS(C7)))/(2*TAN(RADIANS(C7)))*(C5+D5)</f>
        <v>0.73250785746899172</v>
      </c>
      <c r="D13" s="44"/>
      <c r="E13" s="11"/>
      <c r="G13" s="42"/>
      <c r="H13" s="21"/>
      <c r="I13" s="21"/>
      <c r="J13" s="11"/>
    </row>
    <row r="14" spans="2:1020" x14ac:dyDescent="0.2">
      <c r="B14" s="31" t="s">
        <v>18</v>
      </c>
      <c r="C14" s="19"/>
      <c r="D14" s="19"/>
      <c r="E14" s="20"/>
      <c r="G14" s="22"/>
      <c r="H14" s="21"/>
      <c r="I14" s="21"/>
      <c r="J14" s="11"/>
    </row>
    <row r="15" spans="2:1020" x14ac:dyDescent="0.2">
      <c r="B15" s="9" t="s">
        <v>22</v>
      </c>
      <c r="C15" s="29">
        <v>0.35199999999999998</v>
      </c>
      <c r="D15" s="30">
        <v>0.3</v>
      </c>
      <c r="E15" s="9"/>
      <c r="G15" s="11" t="s">
        <v>20</v>
      </c>
      <c r="H15" s="37">
        <f>DEGREES('Newton''s method'!B13)</f>
        <v>20.000000000000007</v>
      </c>
      <c r="I15" s="37"/>
      <c r="J15" s="11" t="s">
        <v>1</v>
      </c>
    </row>
    <row r="16" spans="2:1020" x14ac:dyDescent="0.2">
      <c r="B16" s="31" t="s">
        <v>19</v>
      </c>
      <c r="C16" s="19"/>
      <c r="D16" s="19"/>
      <c r="E16" s="20"/>
      <c r="G16" s="11" t="s">
        <v>15</v>
      </c>
      <c r="H16" s="41">
        <f>H6*(H5+I5)*COS(RADIANS(H7))/(2*COS(RADIANS(H15)))</f>
        <v>136.25</v>
      </c>
      <c r="I16" s="41"/>
      <c r="J16" s="11" t="s">
        <v>0</v>
      </c>
    </row>
    <row r="17" spans="2:14" customFormat="1" x14ac:dyDescent="0.2">
      <c r="B17" s="11" t="s">
        <v>23</v>
      </c>
      <c r="C17" s="43">
        <f>D5/C5</f>
        <v>3.9545454545454546</v>
      </c>
      <c r="D17" s="44"/>
      <c r="E17" s="11"/>
      <c r="F17" s="1"/>
      <c r="G17" s="11" t="s">
        <v>23</v>
      </c>
      <c r="H17" s="41">
        <f>I5/H5</f>
        <v>3.9545454545454546</v>
      </c>
      <c r="I17" s="41"/>
      <c r="J17" s="11"/>
      <c r="K17" s="1"/>
      <c r="L17" s="1"/>
      <c r="M17" s="1"/>
      <c r="N17" s="1"/>
    </row>
    <row r="18" spans="2:14" customFormat="1" x14ac:dyDescent="0.2">
      <c r="B18" s="11" t="s">
        <v>24</v>
      </c>
      <c r="C18" s="18">
        <f>$C$6*C5</f>
        <v>55</v>
      </c>
      <c r="D18" s="17">
        <f>$C$6*D5</f>
        <v>217.5</v>
      </c>
      <c r="E18" s="11" t="s">
        <v>0</v>
      </c>
      <c r="F18" s="1"/>
      <c r="G18" s="11" t="s">
        <v>24</v>
      </c>
      <c r="H18" s="18">
        <f>$H$6*H5</f>
        <v>55</v>
      </c>
      <c r="I18" s="17">
        <f>$H$6*I5</f>
        <v>217.5</v>
      </c>
      <c r="J18" s="11" t="s">
        <v>0</v>
      </c>
      <c r="K18" s="1"/>
      <c r="L18" s="1"/>
      <c r="M18" s="1"/>
      <c r="N18" s="1"/>
    </row>
    <row r="19" spans="2:14" customFormat="1" x14ac:dyDescent="0.2">
      <c r="B19" s="11" t="s">
        <v>25</v>
      </c>
      <c r="C19" s="18">
        <f>C18*COS(RADIANS(C7))/COS(RADIANS(C12))</f>
        <v>55.706422018348626</v>
      </c>
      <c r="D19" s="17">
        <f>D18*COS(RADIANS(C7))/COS(RADIANS(C12))</f>
        <v>220.29357798165137</v>
      </c>
      <c r="E19" s="13" t="s">
        <v>0</v>
      </c>
      <c r="F19" s="1"/>
      <c r="G19" s="11" t="s">
        <v>25</v>
      </c>
      <c r="H19" s="18">
        <f>H18*COS(RADIANS(H7))/COS(RADIANS(H15))</f>
        <v>55.000000000000007</v>
      </c>
      <c r="I19" s="17">
        <f>I18*COS(RADIANS(H7))/COS(RADIANS(H15))</f>
        <v>217.50000000000003</v>
      </c>
      <c r="J19" s="13" t="s">
        <v>0</v>
      </c>
      <c r="K19" s="1"/>
      <c r="L19" s="1"/>
      <c r="M19" s="1"/>
      <c r="N19" s="1"/>
    </row>
    <row r="20" spans="2:14" customFormat="1" x14ac:dyDescent="0.2">
      <c r="B20" s="11" t="s">
        <v>26</v>
      </c>
      <c r="C20" s="18">
        <f>IF(C10="No",C18+2*$C$6+2*C15*C6,IF(C10="Yes",2*C9-2*C6*(D5/2+D15-1),""))</f>
        <v>61.76</v>
      </c>
      <c r="D20" s="17">
        <f>IF(C10="No",D18+2*$C$6+2*D15*C6,IF(C10="Yes",2*C9-2*C6*(C5/2+C15-1),""))</f>
        <v>224</v>
      </c>
      <c r="E20" s="11" t="s">
        <v>0</v>
      </c>
      <c r="F20" s="1"/>
      <c r="G20" s="11" t="s">
        <v>26</v>
      </c>
      <c r="H20" s="18">
        <f>IF(H10="No",H18+2*$H$6+2*H9*H6,IF(H10="Yes",2*H16-2*H6*(I5/2+I9-1),""))</f>
        <v>60</v>
      </c>
      <c r="I20" s="17">
        <f>IF(H10="No",I18+2*$H$6+2*I9*H6,IF(H10="Yes",2*H16-2*H6*(H5/2+H9-1),""))</f>
        <v>222.5</v>
      </c>
      <c r="J20" s="11" t="s">
        <v>0</v>
      </c>
      <c r="K20" s="1"/>
      <c r="L20" s="1"/>
      <c r="M20" s="1"/>
      <c r="N20" s="1"/>
    </row>
    <row r="21" spans="2:14" customFormat="1" x14ac:dyDescent="0.2">
      <c r="B21" s="11" t="s">
        <v>27</v>
      </c>
      <c r="C21" s="18">
        <f>C18-2*($C$6+C8)+2*C15*C6</f>
        <v>50.924999999999997</v>
      </c>
      <c r="D21" s="17">
        <f>D18-2*($C$6+C8)+2*D15*C6</f>
        <v>213.16499999999999</v>
      </c>
      <c r="E21" s="11" t="s">
        <v>0</v>
      </c>
      <c r="F21" s="1"/>
      <c r="G21" s="11" t="s">
        <v>27</v>
      </c>
      <c r="H21" s="18">
        <f>H18-2*($H$6+H8)+2*H9*H6</f>
        <v>49.164999999999999</v>
      </c>
      <c r="I21" s="17">
        <f>I18-2*($H$6+H8)+2*I9*H6</f>
        <v>211.66499999999999</v>
      </c>
      <c r="J21" s="11" t="s">
        <v>0</v>
      </c>
      <c r="K21" s="1"/>
      <c r="L21" s="1"/>
      <c r="M21" s="1"/>
      <c r="N21" s="1"/>
    </row>
    <row r="22" spans="2:14" customFormat="1" x14ac:dyDescent="0.2">
      <c r="B22" s="11" t="s">
        <v>28</v>
      </c>
      <c r="C22" s="18">
        <f>C18*COS(RADIANS(C7))</f>
        <v>51.683094143224963</v>
      </c>
      <c r="D22" s="17">
        <f>D18*COS(RADIANS(C7))</f>
        <v>204.38314502093507</v>
      </c>
      <c r="E22" s="11" t="s">
        <v>0</v>
      </c>
      <c r="F22" s="1"/>
      <c r="G22" s="11" t="s">
        <v>28</v>
      </c>
      <c r="H22" s="18">
        <f>H18*COS(RADIANS(H7))</f>
        <v>51.683094143224963</v>
      </c>
      <c r="I22" s="17">
        <f>I18*COS(RADIANS(H7))</f>
        <v>204.38314502093507</v>
      </c>
      <c r="J22" s="11" t="s">
        <v>0</v>
      </c>
      <c r="K22" s="1"/>
      <c r="L22" s="1"/>
      <c r="M22" s="1"/>
      <c r="N22" s="1"/>
    </row>
    <row r="23" spans="2:14" customFormat="1" x14ac:dyDescent="0.2">
      <c r="B23" s="11" t="s">
        <v>29</v>
      </c>
      <c r="C23" s="43">
        <f>C9-C18/2-D20/2+C6*(1-C15)+C8</f>
        <v>0.53750000000000009</v>
      </c>
      <c r="D23" s="44"/>
      <c r="E23" s="11" t="s">
        <v>0</v>
      </c>
      <c r="F23" s="1"/>
      <c r="G23" s="11" t="s">
        <v>29</v>
      </c>
      <c r="H23" s="41">
        <f>H16-H18/2-I20/2+H6*(1-H9)+H8</f>
        <v>0.41750000000000004</v>
      </c>
      <c r="I23" s="41"/>
      <c r="J23" s="11" t="s">
        <v>0</v>
      </c>
      <c r="K23" s="1"/>
      <c r="L23" s="1"/>
      <c r="M23" s="1"/>
      <c r="N23" s="1"/>
    </row>
    <row r="24" spans="2:14" customFormat="1" x14ac:dyDescent="0.2">
      <c r="B24" s="11" t="s">
        <v>30</v>
      </c>
      <c r="C24" s="43">
        <f>PI()*C18/C5</f>
        <v>7.8539816339744837</v>
      </c>
      <c r="D24" s="44"/>
      <c r="E24" s="11" t="s">
        <v>0</v>
      </c>
      <c r="F24" s="1"/>
      <c r="G24" s="11" t="s">
        <v>30</v>
      </c>
      <c r="H24" s="41">
        <f>PI()*H18/H5</f>
        <v>7.8539816339744837</v>
      </c>
      <c r="I24" s="41"/>
      <c r="J24" s="11" t="s">
        <v>0</v>
      </c>
      <c r="K24" s="1"/>
      <c r="L24" s="1"/>
      <c r="M24" s="1"/>
      <c r="N24" s="1"/>
    </row>
    <row r="25" spans="2:14" customFormat="1" x14ac:dyDescent="0.2">
      <c r="B25" s="11" t="s">
        <v>31</v>
      </c>
      <c r="C25" s="18">
        <f>C6*(PI()/2+2*C15*TAN(RADIANS(C7)))</f>
        <v>4.5675784292957573</v>
      </c>
      <c r="D25" s="17">
        <f>C6*(PI()/2+2*D15*TAN(RADIANS(C7)))</f>
        <v>4.472946168386545</v>
      </c>
      <c r="E25" s="11" t="s">
        <v>0</v>
      </c>
      <c r="F25" s="1"/>
      <c r="G25" s="11" t="s">
        <v>31</v>
      </c>
      <c r="H25" s="18">
        <f>H6*(PI()/2+2*H9*TAN(RADIANS(H7)))</f>
        <v>3.9269908169872414</v>
      </c>
      <c r="I25" s="17">
        <f>H6*(PI()/2+2*I9*TAN(RADIANS(H7)))</f>
        <v>3.9269908169872414</v>
      </c>
      <c r="J25" s="11" t="s">
        <v>0</v>
      </c>
      <c r="K25" s="1"/>
      <c r="L25" s="1"/>
      <c r="M25" s="1"/>
      <c r="N25" s="1"/>
    </row>
    <row r="26" spans="2:14" customFormat="1" x14ac:dyDescent="0.2">
      <c r="B26" s="11" t="s">
        <v>32</v>
      </c>
      <c r="C26" s="18">
        <f>C19*((C6*(PI()/2+2*C15*TAN(RADIANS(C7))))/C18+(TAN(RADIANS(C7))-RADIANS(C7))-(TAN(ACOS(C18/C19*COS(RADIANS(C7))))-(ACOS(C18/C19*COS(RADIANS(C7))))))</f>
        <v>4.3537317664187984</v>
      </c>
      <c r="D26" s="17">
        <f>D19*((C6*(PI()/2+2*D15*TAN(RADIANS(C7))))/D18+(TAN(RADIANS(C7))-RADIANS(C7))-(TAN(ACOS(D18/D19*COS(RADIANS(C7))))-(ACOS(D18/D19*COS(RADIANS(C7))))))</f>
        <v>3.4527325675674763</v>
      </c>
      <c r="E26" s="11" t="s">
        <v>0</v>
      </c>
      <c r="F26" s="1"/>
      <c r="G26" s="11" t="s">
        <v>32</v>
      </c>
      <c r="H26" s="18">
        <f>H19*((H6*(PI()/2+2*H9*TAN(RADIANS(H7))))/H18+(TAN(RADIANS(H7))-RADIANS(H7))-(TAN(ACOS(H18/H19*COS(RADIANS(H7))))-(ACOS(H18/H19*COS(RADIANS(H7))))))</f>
        <v>3.9269908169872387</v>
      </c>
      <c r="I26" s="17">
        <f>I19*((H6*(PI()/2+2*I9*TAN(RADIANS(H7))))/I18+(TAN(RADIANS(H7))-RADIANS(H7))-(TAN(ACOS(I18/I19*COS(RADIANS(H7))))-(ACOS(I18/I19*COS(RADIANS(H7))))))</f>
        <v>3.9269908169872303</v>
      </c>
      <c r="J26" s="11" t="s">
        <v>0</v>
      </c>
      <c r="K26" s="1"/>
      <c r="L26" s="1"/>
      <c r="M26" s="1"/>
      <c r="N26" s="1"/>
    </row>
    <row r="27" spans="2:14" customFormat="1" x14ac:dyDescent="0.2">
      <c r="B27" s="11" t="s">
        <v>33</v>
      </c>
      <c r="C27" s="18">
        <f>C22*((C6*(PI()/2+2*C15*TAN(RADIANS(C7))))/C18+(TAN(RADIANS(C7))-RADIANS(C7))-(TAN(ACOS(C18/C22*COS(RADIANS(C7))))-(ACOS(C18/C22*COS(RADIANS(C7))))))</f>
        <v>5.0624244194324266</v>
      </c>
      <c r="D27" s="17">
        <f>D22*((C6*(PI()/2+2*D15*TAN(RADIANS(C7))))/D18+(TAN(RADIANS(C7))-RADIANS(C7))-(TAN(ACOS(D18/D22*COS(RADIANS(C7))))-(ACOS(D18/D22*COS(RADIANS(C7))))))</f>
        <v>7.2493993570109492</v>
      </c>
      <c r="E27" s="11" t="s">
        <v>0</v>
      </c>
      <c r="F27" s="1"/>
      <c r="G27" s="11" t="s">
        <v>33</v>
      </c>
      <c r="H27" s="18">
        <f>H22*((H6*(PI()/2+2*H9*TAN(RADIANS(H7))))/H18+(TAN(RADIANS(H7))-RADIANS(H7))-(TAN(ACOS(H18/H22*COS(RADIANS(H7))))-(ACOS(H18/H22*COS(RADIANS(H7))))))</f>
        <v>4.4604689671792492</v>
      </c>
      <c r="I27" s="17">
        <f>I22*((H6*(PI()/2+2*I9*TAN(RADIANS(H7))))/I18+(TAN(RADIANS(H7))-RADIANS(H7))-(TAN(ACOS(I18/I22*COS(RADIANS(H7))))-(ACOS(I18/I22*COS(RADIANS(H7))))))</f>
        <v>6.736369142022447</v>
      </c>
      <c r="J27" s="11" t="s">
        <v>0</v>
      </c>
      <c r="K27" s="1"/>
      <c r="L27" s="1"/>
      <c r="M27" s="1"/>
      <c r="N27" s="1"/>
    </row>
    <row r="28" spans="2:14" customFormat="1" x14ac:dyDescent="0.2">
      <c r="B28" s="11" t="s">
        <v>34</v>
      </c>
      <c r="C28" s="18">
        <f>C20*((C6*(PI()/2+2*C15*TAN(RADIANS(C7))))/C18+(TAN(RADIANS(C7))-RADIANS(C7))-(TAN(ACOS(C18/C20*COS(RADIANS(C7))))-(ACOS(C18/C20*COS(RADIANS(C7))))))</f>
        <v>1.4251901054606442</v>
      </c>
      <c r="D28" s="17">
        <f>D20*((C6*(PI()/2+2*D15*TAN(RADIANS(C7))))/D18+(TAN(RADIANS(C7))-RADIANS(C7))-(TAN(ACOS(D18/D20*COS(RADIANS(C7))))-(ACOS(D18/D20*COS(RADIANS(C7))))))</f>
        <v>1.9200024434446621</v>
      </c>
      <c r="E28" s="13" t="s">
        <v>0</v>
      </c>
      <c r="F28" s="1"/>
      <c r="G28" s="11" t="s">
        <v>34</v>
      </c>
      <c r="H28" s="18">
        <f>H20*((H6*(PI()/2+2*H9*TAN(RADIANS(H7))))/H18+(TAN(RADIANS(H7))-RADIANS(H7))-(TAN(ACOS(H18/H20*COS(RADIANS(H7))))-(ACOS(H18/H20*COS(RADIANS(H7))))))</f>
        <v>1.7650513173209705</v>
      </c>
      <c r="I28" s="17">
        <f>I20*((H6*(PI()/2+2*I9*TAN(RADIANS(H7))))/I18+(TAN(RADIANS(H7))-RADIANS(H7))-(TAN(ACOS(I18/I20*COS(RADIANS(H7))))-(ACOS(I18/I20*COS(RADIANS(H7))))))</f>
        <v>2.0055941505849821</v>
      </c>
      <c r="J28" s="13" t="s">
        <v>0</v>
      </c>
      <c r="K28" s="1"/>
      <c r="L28" s="1"/>
      <c r="M28" s="1"/>
      <c r="N28" s="1"/>
    </row>
    <row r="29" spans="2:14" customFormat="1" x14ac:dyDescent="0.2">
      <c r="B29" s="11" t="s">
        <v>35</v>
      </c>
      <c r="C29" s="41">
        <f>(1/2*((C20^2-C22^2)^0.5+(D20^2-D22^2)^0.5-(4*C9^2-(C22+D22)^2)^0.5))/(PI()*C6*COS(RADIANS(C7)))</f>
        <v>1.5240189173648657</v>
      </c>
      <c r="D29" s="41"/>
      <c r="E29" s="11"/>
      <c r="F29" s="1"/>
      <c r="G29" s="11" t="s">
        <v>35</v>
      </c>
      <c r="H29" s="41">
        <f>(1/2*((H20^2-H22^2)^0.5+(I20^2-I22^2)^0.5-(4*H16^2-(H22+I22)^2)^0.5))/(PI()*H6*COS(RADIANS(H7)))</f>
        <v>1.7085006209181868</v>
      </c>
      <c r="I29" s="41"/>
      <c r="J29" s="11"/>
      <c r="K29" s="1"/>
      <c r="L29" s="1"/>
      <c r="M29" s="1"/>
      <c r="N29" s="1"/>
    </row>
    <row r="30" spans="2:14" customFormat="1" x14ac:dyDescent="0.2">
      <c r="B30" s="34" t="s">
        <v>36</v>
      </c>
      <c r="C30" s="35"/>
      <c r="D30" s="35"/>
      <c r="E30" s="36"/>
      <c r="F30" s="1"/>
      <c r="G30" s="34" t="s">
        <v>4</v>
      </c>
      <c r="H30" s="35"/>
      <c r="I30" s="35"/>
      <c r="J30" s="36"/>
      <c r="K30" s="1"/>
      <c r="L30" s="1"/>
      <c r="M30" s="1"/>
      <c r="N30" s="1"/>
    </row>
    <row r="31" spans="2:14" customFormat="1" ht="14.25" customHeight="1" x14ac:dyDescent="0.2">
      <c r="B31" s="38" t="str">
        <f>IF(C10="No","The tip diameter is currently not shortened, so that the tip tooth clearance in operation is only " &amp; ROUND(C23,3) &amp; " mm. If the manufacturing tip tooth clearance of " &amp; ROUND(C8,3) &amp; " mm is to be maintained during operation, a tip shortening must be carried out.",IF(C10="Yes","The tip diameter is currently shortened so that the manufacturing tip tooth clearance of " &amp; ROUND(C8,3) &amp; " mm " &amp; "is maintained during operation.",""))</f>
        <v>The tip diameter is currently not shortened, so that the tip tooth clearance in operation is only 0,538 mm. If the manufacturing tip tooth clearance of 0,418 mm is to be maintained during operation, a tip shortening must be carried out.</v>
      </c>
      <c r="C31" s="39"/>
      <c r="D31" s="39"/>
      <c r="E31" s="40"/>
      <c r="F31" s="1"/>
      <c r="G31" s="38" t="str">
        <f>IF(H10="No","The tip diameter is currently not shortened, so that the tip tooth clearance in operation is only " &amp; ROUND(H23,3) &amp; " mm. If the manufacturing tip tooth clearance of " &amp; ROUND(H8,3) &amp; " mm  is to be maintained during operation, a tip shortening must be carried out.",IF(H10="Yes","The tip diameter is currently shortened so that the manufacturing tip tooth clearance of " &amp; ROUND(H8,3) &amp; " mm  is maintained during operation.",""))</f>
        <v>The tip diameter is currently not shortened, so that the tip tooth clearance in operation is only 0,418 mm. If the manufacturing tip tooth clearance of 0,418 mm  is to be maintained during operation, a tip shortening must be carried out.</v>
      </c>
      <c r="H31" s="39"/>
      <c r="I31" s="39"/>
      <c r="J31" s="40"/>
      <c r="K31" s="1"/>
      <c r="L31" s="1"/>
      <c r="M31" s="1"/>
      <c r="N31" s="1"/>
    </row>
    <row r="32" spans="2:14" customFormat="1" x14ac:dyDescent="0.2">
      <c r="B32" s="38"/>
      <c r="C32" s="39"/>
      <c r="D32" s="39"/>
      <c r="E32" s="40"/>
      <c r="F32" s="1"/>
      <c r="G32" s="38"/>
      <c r="H32" s="39"/>
      <c r="I32" s="39"/>
      <c r="J32" s="40"/>
      <c r="K32" s="1"/>
      <c r="L32" s="1"/>
      <c r="M32" s="1"/>
      <c r="N32" s="1"/>
    </row>
    <row r="33" spans="2:1020" x14ac:dyDescent="0.2">
      <c r="B33" s="38"/>
      <c r="C33" s="39"/>
      <c r="D33" s="39"/>
      <c r="E33" s="40"/>
      <c r="G33" s="38"/>
      <c r="H33" s="39"/>
      <c r="I33" s="39"/>
      <c r="J33" s="40"/>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row>
    <row r="34" spans="2:1020" x14ac:dyDescent="0.2">
      <c r="B34" s="38"/>
      <c r="C34" s="39"/>
      <c r="D34" s="39"/>
      <c r="E34" s="40"/>
      <c r="G34" s="38"/>
      <c r="H34" s="39"/>
      <c r="I34" s="39"/>
      <c r="J34" s="40"/>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row>
    <row r="35" spans="2:1020" x14ac:dyDescent="0.2">
      <c r="B35" s="38" t="str">
        <f>IF(C28&lt;0.2*C6,"Die Zahnkopfdicke des Ritzels ist geringer als 20 % des Moduls. Eine Kopfkreiskürzung ist nötig!",IF(D28&lt;0.2*C6,"Die Zahnkopfdicke des Gegenrades ist geringer als 20 % des Moduls. Eine Kopfkreiskürzung ist nötig!"," "))</f>
        <v xml:space="preserve"> </v>
      </c>
      <c r="C35" s="39"/>
      <c r="D35" s="39"/>
      <c r="E35" s="40"/>
      <c r="G35" s="24"/>
      <c r="H35" s="25"/>
      <c r="I35" s="25"/>
      <c r="J35" s="26"/>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row>
    <row r="36" spans="2:1020" x14ac:dyDescent="0.2">
      <c r="B36" s="38"/>
      <c r="C36" s="39"/>
      <c r="D36" s="39"/>
      <c r="E36" s="40"/>
      <c r="G36" s="24"/>
      <c r="H36" s="25"/>
      <c r="I36" s="25"/>
      <c r="J36" s="2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row>
    <row r="37" spans="2:1020" x14ac:dyDescent="0.2">
      <c r="B37" s="38"/>
      <c r="C37" s="39"/>
      <c r="D37" s="39"/>
      <c r="E37" s="40"/>
      <c r="G37" s="24"/>
      <c r="H37" s="25"/>
      <c r="I37" s="25"/>
      <c r="J37" s="26"/>
      <c r="K37" s="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row>
    <row r="38" spans="2:1020" x14ac:dyDescent="0.2">
      <c r="B38" s="38" t="str">
        <f>IF(C13&gt;1.5,"Die Summe der Profilverschiebungsfaktoren übersteigt den 1,5-fachen Wert des Moduls. Um den geforderten Achsabstand dennoch ohne Einschränkungen einzuhalten sollten andere Zähnezahlen gewählt werden!","")</f>
        <v/>
      </c>
      <c r="C38" s="39"/>
      <c r="D38" s="39"/>
      <c r="E38" s="40"/>
      <c r="G38" s="24"/>
      <c r="H38" s="25"/>
      <c r="I38" s="25"/>
      <c r="J38" s="26"/>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row>
    <row r="39" spans="2:1020" x14ac:dyDescent="0.2">
      <c r="B39" s="38"/>
      <c r="C39" s="39"/>
      <c r="D39" s="39"/>
      <c r="E39" s="40"/>
      <c r="G39" s="24"/>
      <c r="H39" s="25"/>
      <c r="I39" s="25"/>
      <c r="J39" s="26"/>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row>
    <row r="40" spans="2:1020" x14ac:dyDescent="0.2">
      <c r="B40" s="38"/>
      <c r="C40" s="39"/>
      <c r="D40" s="39"/>
      <c r="E40" s="40"/>
      <c r="G40" s="24"/>
      <c r="H40" s="25"/>
      <c r="I40" s="25"/>
      <c r="J40" s="26"/>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row>
    <row r="41" spans="2:1020" x14ac:dyDescent="0.2">
      <c r="B41" s="55"/>
      <c r="C41" s="56"/>
      <c r="D41" s="56"/>
      <c r="E41" s="57"/>
      <c r="G41" s="55"/>
      <c r="H41" s="56"/>
      <c r="I41" s="56"/>
      <c r="J41" s="57"/>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row>
  </sheetData>
  <customSheetViews>
    <customSheetView guid="{6517D423-1BF8-4160-845E-47FD774DFB56}" scale="85">
      <selection activeCell="L11" sqref="L11"/>
      <pageMargins left="0" right="0" top="0.39370078740157477" bottom="0.39370078740157477" header="0" footer="0"/>
      <pageSetup paperSize="9" orientation="portrait" horizontalDpi="0" verticalDpi="0" r:id="rId1"/>
      <headerFooter>
        <oddHeader>&amp;C&amp;A</oddHeader>
        <oddFooter>&amp;CSeite &amp;P</oddFooter>
      </headerFooter>
    </customSheetView>
  </customSheetViews>
  <mergeCells count="36">
    <mergeCell ref="G41:J41"/>
    <mergeCell ref="B41:E41"/>
    <mergeCell ref="B38:E40"/>
    <mergeCell ref="H16:I16"/>
    <mergeCell ref="B2:E2"/>
    <mergeCell ref="C6:D6"/>
    <mergeCell ref="C7:D7"/>
    <mergeCell ref="C8:D8"/>
    <mergeCell ref="B3:E3"/>
    <mergeCell ref="C10:D10"/>
    <mergeCell ref="B35:E37"/>
    <mergeCell ref="B31:E34"/>
    <mergeCell ref="C9:D9"/>
    <mergeCell ref="B30:E30"/>
    <mergeCell ref="C29:D29"/>
    <mergeCell ref="C24:D24"/>
    <mergeCell ref="C23:D23"/>
    <mergeCell ref="C17:D17"/>
    <mergeCell ref="C12:D12"/>
    <mergeCell ref="C13:D13"/>
    <mergeCell ref="G2:J2"/>
    <mergeCell ref="G3:J3"/>
    <mergeCell ref="H6:I6"/>
    <mergeCell ref="H7:I7"/>
    <mergeCell ref="H8:I8"/>
    <mergeCell ref="L3:N3"/>
    <mergeCell ref="H10:I10"/>
    <mergeCell ref="G11:J11"/>
    <mergeCell ref="H15:I15"/>
    <mergeCell ref="G31:J34"/>
    <mergeCell ref="H23:I23"/>
    <mergeCell ref="H24:I24"/>
    <mergeCell ref="H29:I29"/>
    <mergeCell ref="G30:J30"/>
    <mergeCell ref="H17:I17"/>
    <mergeCell ref="G12:G13"/>
  </mergeCells>
  <dataValidations disablePrompts="1" count="1">
    <dataValidation type="list" showInputMessage="1" showErrorMessage="1" sqref="H10:I10 C10:D10" xr:uid="{00000000-0002-0000-0000-000000000000}">
      <formula1>"Yes,No"</formula1>
    </dataValidation>
  </dataValidations>
  <hyperlinks>
    <hyperlink ref="B2" r:id="rId2" xr:uid="{00000000-0004-0000-0000-000000000000}"/>
    <hyperlink ref="G2" r:id="rId3" xr:uid="{00000000-0004-0000-0000-000001000000}"/>
  </hyperlinks>
  <pageMargins left="0" right="0" top="0.39370078740157477" bottom="0.39370078740157477" header="0" footer="0"/>
  <pageSetup paperSize="9" orientation="portrait" horizontalDpi="0" verticalDpi="0" r:id="rId4"/>
  <headerFooter>
    <oddHeader>&amp;C&amp;A</oddHeader>
    <oddFooter>&amp;CSeite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zoomScale="175" zoomScaleNormal="175" workbookViewId="0">
      <selection activeCell="B13" sqref="A1:B13"/>
    </sheetView>
  </sheetViews>
  <sheetFormatPr baseColWidth="10" defaultRowHeight="14.25" x14ac:dyDescent="0.2"/>
  <cols>
    <col min="1" max="1" width="8.25" style="2" customWidth="1"/>
    <col min="2" max="2" width="14" style="3" customWidth="1"/>
  </cols>
  <sheetData>
    <row r="1" spans="1:2" x14ac:dyDescent="0.2">
      <c r="A1" s="2" t="s">
        <v>3</v>
      </c>
      <c r="B1" s="3">
        <f>2*(input!H9+input!I9)/(input!H5+input!I5)*TAN(RADIANS(input!H7))+TAN(RADIANS(input!H7))-RADIANS(input!H7)</f>
        <v>1.4904383867336446E-2</v>
      </c>
    </row>
    <row r="2" spans="1:2" x14ac:dyDescent="0.2">
      <c r="A2" s="2" t="s">
        <v>2</v>
      </c>
    </row>
    <row r="3" spans="1:2" x14ac:dyDescent="0.2">
      <c r="A3" s="2">
        <v>0</v>
      </c>
      <c r="B3" s="3">
        <f>(3*B1)^(1/3)-2/5*B1</f>
        <v>0.34897019559118592</v>
      </c>
    </row>
    <row r="4" spans="1:2" x14ac:dyDescent="0.2">
      <c r="A4" s="2">
        <v>1</v>
      </c>
      <c r="B4" s="3">
        <f>B3+($B$1-TAN(B3)+B3)/TAN(B3)^2</f>
        <v>0.34906587887810042</v>
      </c>
    </row>
    <row r="5" spans="1:2" x14ac:dyDescent="0.2">
      <c r="A5" s="2">
        <v>2</v>
      </c>
      <c r="B5" s="3">
        <f t="shared" ref="B5:B12" si="0">B4+($B$1-TAN(B4)+B4)/TAN(B4)^2</f>
        <v>0.3490658503988685</v>
      </c>
    </row>
    <row r="6" spans="1:2" x14ac:dyDescent="0.2">
      <c r="A6" s="2">
        <v>3</v>
      </c>
      <c r="B6" s="3">
        <f t="shared" si="0"/>
        <v>0.34906585039886601</v>
      </c>
    </row>
    <row r="7" spans="1:2" x14ac:dyDescent="0.2">
      <c r="A7" s="2">
        <v>4</v>
      </c>
      <c r="B7" s="3">
        <f t="shared" si="0"/>
        <v>0.34906585039886601</v>
      </c>
    </row>
    <row r="8" spans="1:2" x14ac:dyDescent="0.2">
      <c r="A8" s="2">
        <v>5</v>
      </c>
      <c r="B8" s="3">
        <f t="shared" si="0"/>
        <v>0.34906585039886601</v>
      </c>
    </row>
    <row r="9" spans="1:2" x14ac:dyDescent="0.2">
      <c r="A9" s="2">
        <v>6</v>
      </c>
      <c r="B9" s="3">
        <f t="shared" si="0"/>
        <v>0.34906585039886601</v>
      </c>
    </row>
    <row r="10" spans="1:2" x14ac:dyDescent="0.2">
      <c r="A10" s="2">
        <v>7</v>
      </c>
      <c r="B10" s="3">
        <f t="shared" si="0"/>
        <v>0.34906585039886601</v>
      </c>
    </row>
    <row r="11" spans="1:2" x14ac:dyDescent="0.2">
      <c r="A11" s="2">
        <v>8</v>
      </c>
      <c r="B11" s="3">
        <f t="shared" si="0"/>
        <v>0.34906585039886601</v>
      </c>
    </row>
    <row r="12" spans="1:2" x14ac:dyDescent="0.2">
      <c r="A12" s="2">
        <v>9</v>
      </c>
      <c r="B12" s="3">
        <f t="shared" si="0"/>
        <v>0.34906585039886601</v>
      </c>
    </row>
    <row r="13" spans="1:2" x14ac:dyDescent="0.2">
      <c r="A13" s="2">
        <v>10</v>
      </c>
      <c r="B13" s="3">
        <f>B12+($B$1-TAN(B12)+B12)/TAN(B12)^2</f>
        <v>0.34906585039886601</v>
      </c>
    </row>
  </sheetData>
  <customSheetViews>
    <customSheetView guid="{6517D423-1BF8-4160-845E-47FD774DFB56}" scale="175">
      <selection activeCell="B1" sqref="B1"/>
      <pageMargins left="0" right="0" top="0.39370078740157477" bottom="0.39370078740157477" header="0" footer="0"/>
      <pageSetup paperSize="9" orientation="portrait" horizontalDpi="0" verticalDpi="0" r:id="rId1"/>
      <headerFooter>
        <oddHeader>&amp;C&amp;A</oddHeader>
        <oddFooter>&amp;CSeite &amp;P</oddFooter>
      </headerFooter>
    </customSheetView>
  </customSheetViews>
  <pageMargins left="0" right="0" top="0.39370078740157477" bottom="0.39370078740157477" header="0" footer="0"/>
  <pageSetup paperSize="9" orientation="portrait" horizontalDpi="0" verticalDpi="0" r:id="rId2"/>
  <headerFooter>
    <oddHeader>&amp;C&amp;A</oddHeader>
    <oddFooter>&amp;CSeite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input</vt:lpstr>
      <vt:lpstr>Newton's method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AAA</cp:lastModifiedBy>
  <cp:revision>293</cp:revision>
  <dcterms:created xsi:type="dcterms:W3CDTF">2014-07-08T14:04:57Z</dcterms:created>
  <dcterms:modified xsi:type="dcterms:W3CDTF">2024-04-28T13:57:37Z</dcterms:modified>
</cp:coreProperties>
</file>