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/>
  <mc:AlternateContent xmlns:mc="http://schemas.openxmlformats.org/markup-compatibility/2006">
    <mc:Choice Requires="x15">
      <x15ac:absPath xmlns:x15ac="http://schemas.microsoft.com/office/spreadsheetml/2010/11/ac" url="D:\Homepage\html\tec-science\mechanical-power-transmission\involute-gear\"/>
    </mc:Choice>
  </mc:AlternateContent>
  <xr:revisionPtr revIDLastSave="0" documentId="13_ncr:1_{631D5372-6BCF-4300-96C9-9ADF40EF051F}" xr6:coauthVersionLast="43" xr6:coauthVersionMax="43" xr10:uidLastSave="{00000000-0000-0000-0000-000000000000}"/>
  <bookViews>
    <workbookView xWindow="28680" yWindow="-120" windowWidth="25440" windowHeight="15990" xr2:uid="{00000000-000D-0000-FFFF-FFFF00000000}"/>
  </bookViews>
  <sheets>
    <sheet name="Eingabe" sheetId="1" r:id="rId1"/>
    <sheet name="Newton-Verfahren" sheetId="2" r:id="rId2"/>
  </sheets>
  <calcPr calcId="181029"/>
  <customWorkbookViews>
    <customWorkbookView name="HHH - Persönliche Ansicht" guid="{6517D423-1BF8-4160-845E-47FD774DFB56}" mergeInterval="0" personalView="1" maximized="1" xWindow="1912" yWindow="22" windowWidth="1696" windowHeight="10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H21" i="1"/>
  <c r="I20" i="1"/>
  <c r="H20" i="1"/>
  <c r="I18" i="1"/>
  <c r="H18" i="1"/>
  <c r="H8" i="1" l="1"/>
  <c r="I12" i="1" l="1"/>
  <c r="H12" i="1"/>
  <c r="B1" i="2" l="1"/>
  <c r="I25" i="1"/>
  <c r="H25" i="1"/>
  <c r="I22" i="1"/>
  <c r="H17" i="1"/>
  <c r="H22" i="1" l="1"/>
  <c r="H27" i="1" s="1"/>
  <c r="I27" i="1"/>
  <c r="H24" i="1"/>
  <c r="C17" i="1" l="1"/>
  <c r="C12" i="1" l="1"/>
  <c r="C13" i="1" s="1"/>
  <c r="B38" i="1" s="1"/>
  <c r="C25" i="1"/>
  <c r="D18" i="1"/>
  <c r="C18" i="1"/>
  <c r="C22" i="1" s="1"/>
  <c r="C8" i="1"/>
  <c r="D22" i="1" l="1"/>
  <c r="D20" i="1"/>
  <c r="C23" i="1" s="1"/>
  <c r="B31" i="1" s="1"/>
  <c r="C24" i="1"/>
  <c r="C20" i="1"/>
  <c r="C29" i="1" s="1"/>
  <c r="D25" i="1"/>
  <c r="D27" i="1"/>
  <c r="C19" i="1"/>
  <c r="C26" i="1" s="1"/>
  <c r="D19" i="1"/>
  <c r="C21" i="1"/>
  <c r="D21" i="1"/>
  <c r="C28" i="1" l="1"/>
  <c r="C27" i="1"/>
  <c r="D26" i="1"/>
  <c r="D28" i="1"/>
  <c r="B35" i="1" l="1"/>
  <c r="B3" i="2"/>
  <c r="B4" i="2" l="1"/>
  <c r="B5" i="2" l="1"/>
  <c r="B6" i="2" l="1"/>
  <c r="B7" i="2" l="1"/>
  <c r="B8" i="2" l="1"/>
  <c r="B9" i="2" l="1"/>
  <c r="B10" i="2" l="1"/>
  <c r="B11" i="2" l="1"/>
  <c r="B12" i="2" l="1"/>
  <c r="B13" i="2" l="1"/>
  <c r="H15" i="1" s="1"/>
  <c r="H16" i="1" l="1"/>
  <c r="I19" i="1"/>
  <c r="I26" i="1" s="1"/>
  <c r="H19" i="1"/>
  <c r="H26" i="1" s="1"/>
  <c r="I28" i="1" l="1"/>
  <c r="H23" i="1" l="1"/>
  <c r="G31" i="1" s="1"/>
  <c r="H28" i="1"/>
  <c r="H29" i="1"/>
</calcChain>
</file>

<file path=xl/sharedStrings.xml><?xml version="1.0" encoding="utf-8"?>
<sst xmlns="http://schemas.openxmlformats.org/spreadsheetml/2006/main" count="97" uniqueCount="39">
  <si>
    <t>Zähnezahl</t>
  </si>
  <si>
    <t>Modul</t>
  </si>
  <si>
    <t>mm</t>
  </si>
  <si>
    <t>Normeingriffswinkel</t>
  </si>
  <si>
    <t>°</t>
  </si>
  <si>
    <t>Profilverschiebungsfaktor</t>
  </si>
  <si>
    <t>Teilkreisdurchmesser</t>
  </si>
  <si>
    <t>Fußkreisdurchmesser</t>
  </si>
  <si>
    <t>Teilung auf dem Teilkreis</t>
  </si>
  <si>
    <t>Zahndicke auf dem Teilkreis</t>
  </si>
  <si>
    <t>Zahnkopfdicke</t>
  </si>
  <si>
    <t>n</t>
  </si>
  <si>
    <r>
      <t>inv(α</t>
    </r>
    <r>
      <rPr>
        <sz val="8"/>
        <color theme="1"/>
        <rFont val="Arial"/>
        <family val="2"/>
      </rPr>
      <t>b</t>
    </r>
    <r>
      <rPr>
        <sz val="11"/>
        <color theme="1"/>
        <rFont val="Arial"/>
        <family val="2"/>
      </rPr>
      <t>)</t>
    </r>
  </si>
  <si>
    <t>Betriebseingriffswinkel</t>
  </si>
  <si>
    <t>Achsabstand</t>
  </si>
  <si>
    <t>Wälzkreisdurchmesser</t>
  </si>
  <si>
    <t>Zahndicke auf dem Wälzkreis</t>
  </si>
  <si>
    <t>Zahndicke auf dem Grundkreis</t>
  </si>
  <si>
    <t>Grundkreisdurchmesser</t>
  </si>
  <si>
    <t>Herstellungs-Zahnkopfspiel</t>
  </si>
  <si>
    <t>Summe der Profilverschiebungsfaktoren</t>
  </si>
  <si>
    <t>Überdeckungsgrad</t>
  </si>
  <si>
    <t>Gewählte Profilverschiebungsfaktoren</t>
  </si>
  <si>
    <t>Berechnete Größen</t>
  </si>
  <si>
    <t>Einheit</t>
  </si>
  <si>
    <t>Berechnung der Summe der Profilverschiebungsfaktoren</t>
  </si>
  <si>
    <t>Ritzel</t>
  </si>
  <si>
    <t>Gegenrad</t>
  </si>
  <si>
    <t>Bemerkungen</t>
  </si>
  <si>
    <t>Kopfkreiskürzung</t>
  </si>
  <si>
    <t>Betriebs-Zahnkopfspiel</t>
  </si>
  <si>
    <t>Kopfkreisdurchmesser</t>
  </si>
  <si>
    <t>Übersetzungsverhältnis</t>
  </si>
  <si>
    <t>Berechnung der Summe der Profilverschiebungsfaktoren zur
Einhaltung eines vorgegebenen Achsabstandes</t>
  </si>
  <si>
    <t>Alle Berechnungen ohne Gewähr!</t>
  </si>
  <si>
    <t>Berechnung des Achsabstandes bei vorgegebenen Profilverschiebungsfaktoren</t>
  </si>
  <si>
    <t>Profilverschiebungsfaktor zur
Vermeidung von Unterschnitt</t>
  </si>
  <si>
    <t>Nein</t>
  </si>
  <si>
    <t>www.tec-science.com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</si>
</sst>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&quot; &quot;[$€-407];[Red]&quot;-&quot;#,##0.00&quot; &quot;[$€-407]"/>
    <numFmt numFmtId="166" formatCode="0.0000000000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1" fontId="0" fillId="0" borderId="0" xfId="0" applyNumberFormat="1"/>
    <xf numFmtId="166" fontId="0" fillId="0" borderId="0" xfId="0" applyNumberFormat="1"/>
    <xf numFmtId="2" fontId="3" fillId="0" borderId="0" xfId="0" applyNumberFormat="1" applyFont="1"/>
    <xf numFmtId="0" fontId="3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vertical="top" wrapText="1"/>
    </xf>
    <xf numFmtId="1" fontId="3" fillId="4" borderId="0" xfId="0" applyNumberFormat="1" applyFont="1" applyFill="1" applyBorder="1" applyAlignment="1">
      <alignment horizontal="center"/>
    </xf>
    <xf numFmtId="2" fontId="0" fillId="2" borderId="9" xfId="0" applyNumberFormat="1" applyFill="1" applyBorder="1"/>
    <xf numFmtId="0" fontId="0" fillId="2" borderId="9" xfId="0" applyFill="1" applyBorder="1"/>
    <xf numFmtId="2" fontId="0" fillId="5" borderId="9" xfId="0" applyNumberFormat="1" applyFill="1" applyBorder="1"/>
    <xf numFmtId="2" fontId="0" fillId="5" borderId="9" xfId="0" applyNumberFormat="1" applyFont="1" applyFill="1" applyBorder="1"/>
    <xf numFmtId="2" fontId="3" fillId="4" borderId="9" xfId="0" applyNumberFormat="1" applyFont="1" applyFill="1" applyBorder="1"/>
    <xf numFmtId="0" fontId="0" fillId="5" borderId="9" xfId="0" applyFill="1" applyBorder="1"/>
    <xf numFmtId="2" fontId="0" fillId="4" borderId="9" xfId="0" applyNumberFormat="1" applyFont="1" applyFill="1" applyBorder="1"/>
    <xf numFmtId="1" fontId="0" fillId="2" borderId="9" xfId="0" applyNumberForma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left"/>
    </xf>
    <xf numFmtId="2" fontId="7" fillId="3" borderId="0" xfId="0" applyNumberFormat="1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left"/>
    </xf>
    <xf numFmtId="164" fontId="0" fillId="5" borderId="9" xfId="0" applyNumberFormat="1" applyFill="1" applyBorder="1" applyAlignment="1">
      <alignment vertical="center"/>
    </xf>
    <xf numFmtId="2" fontId="0" fillId="5" borderId="9" xfId="0" applyNumberFormat="1" applyFill="1" applyBorder="1" applyAlignment="1">
      <alignment wrapText="1"/>
    </xf>
    <xf numFmtId="164" fontId="0" fillId="5" borderId="9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vertical="top" wrapText="1"/>
    </xf>
    <xf numFmtId="2" fontId="0" fillId="5" borderId="0" xfId="0" applyNumberFormat="1" applyFill="1" applyBorder="1" applyAlignment="1">
      <alignment vertical="top" wrapText="1"/>
    </xf>
    <xf numFmtId="2" fontId="0" fillId="5" borderId="5" xfId="0" applyNumberFormat="1" applyFill="1" applyBorder="1" applyAlignment="1">
      <alignment vertical="top" wrapText="1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2" fontId="7" fillId="6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left"/>
    </xf>
    <xf numFmtId="2" fontId="7" fillId="3" borderId="0" xfId="0" applyNumberFormat="1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left"/>
    </xf>
    <xf numFmtId="2" fontId="0" fillId="5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left" vertical="top" wrapText="1"/>
    </xf>
    <xf numFmtId="2" fontId="0" fillId="5" borderId="0" xfId="0" applyNumberFormat="1" applyFill="1" applyBorder="1" applyAlignment="1">
      <alignment horizontal="left" vertical="top" wrapText="1"/>
    </xf>
    <xf numFmtId="2" fontId="0" fillId="5" borderId="5" xfId="0" applyNumberFormat="1" applyFill="1" applyBorder="1" applyAlignment="1">
      <alignment horizontal="left" vertical="top" wrapText="1"/>
    </xf>
    <xf numFmtId="164" fontId="0" fillId="5" borderId="0" xfId="0" applyNumberForma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left" wrapText="1"/>
    </xf>
    <xf numFmtId="2" fontId="5" fillId="7" borderId="1" xfId="5" applyNumberFormat="1" applyFont="1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>
      <alignment horizontal="left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164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64" fontId="0" fillId="5" borderId="5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Link" xfId="5" builtinId="8"/>
    <cellStyle name="Result" xfId="3" xr:uid="{00000000-0005-0000-0000-000003000000}"/>
    <cellStyle name="Result2" xfId="4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c-science.com/" TargetMode="External"/><Relationship Id="rId2" Type="http://schemas.openxmlformats.org/officeDocument/2006/relationships/hyperlink" Target="http://www.tec-science.com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F41"/>
  <sheetViews>
    <sheetView tabSelected="1" zoomScale="130" zoomScaleNormal="130" workbookViewId="0">
      <selection activeCell="H25" sqref="H25"/>
    </sheetView>
  </sheetViews>
  <sheetFormatPr baseColWidth="10" defaultRowHeight="14.25" x14ac:dyDescent="0.2"/>
  <cols>
    <col min="1" max="1" width="3.25" customWidth="1"/>
    <col min="2" max="2" width="34" style="1" bestFit="1" customWidth="1"/>
    <col min="3" max="3" width="9.625" style="6" customWidth="1"/>
    <col min="4" max="4" width="9.75" style="6" bestFit="1" customWidth="1"/>
    <col min="5" max="5" width="6.375" style="1" bestFit="1" customWidth="1"/>
    <col min="6" max="6" width="2.625" style="1" customWidth="1"/>
    <col min="7" max="7" width="25.875" style="1" bestFit="1" customWidth="1"/>
    <col min="8" max="8" width="7.375" style="1" bestFit="1" customWidth="1"/>
    <col min="9" max="9" width="9.75" style="1" bestFit="1" customWidth="1"/>
    <col min="10" max="10" width="6.375" style="1" bestFit="1" customWidth="1"/>
    <col min="11" max="1020" width="10.625" style="1" customWidth="1"/>
  </cols>
  <sheetData>
    <row r="2" spans="2:1020" x14ac:dyDescent="0.2">
      <c r="B2" s="47" t="s">
        <v>38</v>
      </c>
      <c r="C2" s="48"/>
      <c r="D2" s="48"/>
      <c r="E2" s="49"/>
      <c r="G2" s="47" t="s">
        <v>38</v>
      </c>
      <c r="H2" s="48"/>
      <c r="I2" s="48"/>
      <c r="J2" s="49"/>
    </row>
    <row r="3" spans="2:1020" ht="33.75" customHeight="1" x14ac:dyDescent="0.2">
      <c r="B3" s="50" t="s">
        <v>33</v>
      </c>
      <c r="C3" s="51"/>
      <c r="D3" s="51"/>
      <c r="E3" s="52"/>
      <c r="G3" s="50" t="s">
        <v>35</v>
      </c>
      <c r="H3" s="51"/>
      <c r="I3" s="51"/>
      <c r="J3" s="52"/>
      <c r="L3" s="35" t="s">
        <v>34</v>
      </c>
      <c r="M3" s="35"/>
      <c r="N3" s="35"/>
    </row>
    <row r="4" spans="2:1020" s="5" customFormat="1" ht="15" x14ac:dyDescent="0.25">
      <c r="B4" s="13"/>
      <c r="C4" s="8" t="s">
        <v>26</v>
      </c>
      <c r="D4" s="17" t="s">
        <v>27</v>
      </c>
      <c r="E4" s="15" t="s">
        <v>24</v>
      </c>
      <c r="F4" s="4"/>
      <c r="G4" s="13"/>
      <c r="H4" s="8" t="s">
        <v>26</v>
      </c>
      <c r="I4" s="17" t="s">
        <v>27</v>
      </c>
      <c r="J4" s="15" t="s">
        <v>24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</row>
    <row r="5" spans="2:1020" x14ac:dyDescent="0.2">
      <c r="B5" s="9" t="s">
        <v>0</v>
      </c>
      <c r="C5" s="31">
        <v>18</v>
      </c>
      <c r="D5" s="32">
        <v>30</v>
      </c>
      <c r="E5" s="16"/>
      <c r="G5" s="9" t="s">
        <v>0</v>
      </c>
      <c r="H5" s="31">
        <v>18</v>
      </c>
      <c r="I5" s="32">
        <v>30</v>
      </c>
      <c r="J5" s="16"/>
    </row>
    <row r="6" spans="2:1020" x14ac:dyDescent="0.2">
      <c r="B6" s="9" t="s">
        <v>1</v>
      </c>
      <c r="C6" s="53">
        <v>1</v>
      </c>
      <c r="D6" s="53"/>
      <c r="E6" s="9" t="s">
        <v>2</v>
      </c>
      <c r="G6" s="9" t="s">
        <v>1</v>
      </c>
      <c r="H6" s="53">
        <v>1</v>
      </c>
      <c r="I6" s="53"/>
      <c r="J6" s="9" t="s">
        <v>2</v>
      </c>
    </row>
    <row r="7" spans="2:1020" x14ac:dyDescent="0.2">
      <c r="B7" s="9" t="s">
        <v>3</v>
      </c>
      <c r="C7" s="53">
        <v>20</v>
      </c>
      <c r="D7" s="53"/>
      <c r="E7" s="9" t="s">
        <v>4</v>
      </c>
      <c r="G7" s="9" t="s">
        <v>3</v>
      </c>
      <c r="H7" s="53">
        <v>20</v>
      </c>
      <c r="I7" s="53"/>
      <c r="J7" s="9" t="s">
        <v>4</v>
      </c>
    </row>
    <row r="8" spans="2:1020" x14ac:dyDescent="0.2">
      <c r="B8" s="10" t="s">
        <v>19</v>
      </c>
      <c r="C8" s="54">
        <f>0.167*$C$6</f>
        <v>0.16700000000000001</v>
      </c>
      <c r="D8" s="54"/>
      <c r="E8" s="9" t="s">
        <v>2</v>
      </c>
      <c r="G8" s="10" t="s">
        <v>19</v>
      </c>
      <c r="H8" s="54">
        <f>0.167*$H$6</f>
        <v>0.16700000000000001</v>
      </c>
      <c r="I8" s="54"/>
      <c r="J8" s="9" t="s">
        <v>2</v>
      </c>
    </row>
    <row r="9" spans="2:1020" x14ac:dyDescent="0.2">
      <c r="B9" s="9" t="s">
        <v>14</v>
      </c>
      <c r="C9" s="54">
        <v>24.6</v>
      </c>
      <c r="D9" s="54"/>
      <c r="E9" s="9" t="s">
        <v>2</v>
      </c>
      <c r="G9" s="9" t="s">
        <v>5</v>
      </c>
      <c r="H9" s="33">
        <v>0.35199999999999998</v>
      </c>
      <c r="I9" s="34">
        <v>0.3</v>
      </c>
      <c r="J9" s="9"/>
    </row>
    <row r="10" spans="2:1020" x14ac:dyDescent="0.2">
      <c r="B10" s="9" t="s">
        <v>29</v>
      </c>
      <c r="C10" s="36" t="s">
        <v>37</v>
      </c>
      <c r="D10" s="36"/>
      <c r="E10" s="9"/>
      <c r="G10" s="9" t="s">
        <v>29</v>
      </c>
      <c r="H10" s="36" t="s">
        <v>37</v>
      </c>
      <c r="I10" s="36"/>
      <c r="J10" s="9"/>
    </row>
    <row r="11" spans="2:1020" x14ac:dyDescent="0.2">
      <c r="B11" s="37" t="s">
        <v>25</v>
      </c>
      <c r="C11" s="38"/>
      <c r="D11" s="38"/>
      <c r="E11" s="39"/>
      <c r="G11" s="37" t="s">
        <v>23</v>
      </c>
      <c r="H11" s="38"/>
      <c r="I11" s="38"/>
      <c r="J11" s="39"/>
    </row>
    <row r="12" spans="2:1020" ht="14.25" customHeight="1" x14ac:dyDescent="0.2">
      <c r="B12" s="11" t="s">
        <v>13</v>
      </c>
      <c r="C12" s="62">
        <f>DEGREES(ACOS(C6*(C5+D5)*COS(RADIANS(C7))/(2*C9)))</f>
        <v>23.54117389172735</v>
      </c>
      <c r="D12" s="63"/>
      <c r="E12" s="11" t="s">
        <v>4</v>
      </c>
      <c r="G12" s="46" t="s">
        <v>36</v>
      </c>
      <c r="H12" s="27">
        <f>1-H5/14</f>
        <v>-0.28571428571428581</v>
      </c>
      <c r="I12" s="27">
        <f>1-I5/14</f>
        <v>-1.1428571428571428</v>
      </c>
      <c r="J12" s="11"/>
    </row>
    <row r="13" spans="2:1020" ht="14.25" customHeight="1" x14ac:dyDescent="0.2">
      <c r="B13" s="11" t="s">
        <v>20</v>
      </c>
      <c r="C13" s="58">
        <f>((TAN(RADIANS(C12))-RADIANS(C12))-(TAN(RADIANS(C7))-RADIANS(C7)))/(2*TAN(RADIANS(C7)))*(C5+D5)</f>
        <v>0.65225648194353247</v>
      </c>
      <c r="D13" s="59"/>
      <c r="E13" s="11"/>
      <c r="G13" s="46"/>
      <c r="H13" s="25"/>
      <c r="I13" s="25"/>
      <c r="J13" s="11"/>
    </row>
    <row r="14" spans="2:1020" x14ac:dyDescent="0.2">
      <c r="B14" s="22" t="s">
        <v>22</v>
      </c>
      <c r="C14" s="23"/>
      <c r="D14" s="23"/>
      <c r="E14" s="24"/>
      <c r="G14" s="26"/>
      <c r="H14" s="25"/>
      <c r="I14" s="25"/>
      <c r="J14" s="11"/>
    </row>
    <row r="15" spans="2:1020" x14ac:dyDescent="0.2">
      <c r="B15" s="9" t="s">
        <v>5</v>
      </c>
      <c r="C15" s="33">
        <v>0.35199999999999998</v>
      </c>
      <c r="D15" s="34">
        <v>0.3</v>
      </c>
      <c r="E15" s="9"/>
      <c r="G15" s="11" t="s">
        <v>13</v>
      </c>
      <c r="H15" s="40">
        <f>DEGREES('Newton-Verfahren'!B13)</f>
        <v>23.539999673599134</v>
      </c>
      <c r="I15" s="40"/>
      <c r="J15" s="11" t="s">
        <v>4</v>
      </c>
    </row>
    <row r="16" spans="2:1020" x14ac:dyDescent="0.2">
      <c r="B16" s="22" t="s">
        <v>23</v>
      </c>
      <c r="C16" s="23"/>
      <c r="D16" s="23"/>
      <c r="E16" s="24"/>
      <c r="G16" s="11" t="s">
        <v>14</v>
      </c>
      <c r="H16" s="44">
        <f>H6*(H5+I5)*COS(RADIANS(H7))/(2*COS(RADIANS(H15)))</f>
        <v>24.599780364794988</v>
      </c>
      <c r="I16" s="44"/>
      <c r="J16" s="11" t="s">
        <v>2</v>
      </c>
    </row>
    <row r="17" spans="2:14" customFormat="1" x14ac:dyDescent="0.2">
      <c r="B17" s="12" t="s">
        <v>32</v>
      </c>
      <c r="C17" s="60">
        <f>D5/C5</f>
        <v>1.6666666666666667</v>
      </c>
      <c r="D17" s="61"/>
      <c r="E17" s="11"/>
      <c r="F17" s="1"/>
      <c r="G17" s="12" t="s">
        <v>32</v>
      </c>
      <c r="H17" s="45">
        <f>I5/H5</f>
        <v>1.6666666666666667</v>
      </c>
      <c r="I17" s="45"/>
      <c r="J17" s="11"/>
      <c r="K17" s="1"/>
      <c r="L17" s="1"/>
      <c r="M17" s="1"/>
      <c r="N17" s="1"/>
    </row>
    <row r="18" spans="2:14" customFormat="1" x14ac:dyDescent="0.2">
      <c r="B18" s="12" t="s">
        <v>6</v>
      </c>
      <c r="C18" s="20">
        <f>$C$6*C5</f>
        <v>18</v>
      </c>
      <c r="D18" s="18">
        <f>$C$6*D5</f>
        <v>30</v>
      </c>
      <c r="E18" s="11" t="s">
        <v>2</v>
      </c>
      <c r="F18" s="1"/>
      <c r="G18" s="12" t="s">
        <v>6</v>
      </c>
      <c r="H18" s="20">
        <f>$H$6*H5</f>
        <v>18</v>
      </c>
      <c r="I18" s="18">
        <f>$H$6*I5</f>
        <v>30</v>
      </c>
      <c r="J18" s="11" t="s">
        <v>2</v>
      </c>
      <c r="K18" s="1"/>
      <c r="L18" s="1"/>
      <c r="M18" s="1"/>
      <c r="N18" s="1"/>
    </row>
    <row r="19" spans="2:14" customFormat="1" x14ac:dyDescent="0.2">
      <c r="B19" s="11" t="s">
        <v>15</v>
      </c>
      <c r="C19" s="21">
        <f>C18*COS(RADIANS(C7))/COS(RADIANS(C12))</f>
        <v>18.450000000000003</v>
      </c>
      <c r="D19" s="19">
        <f>D18*COS(RADIANS(C7))/COS(RADIANS(C12))</f>
        <v>30.750000000000004</v>
      </c>
      <c r="E19" s="14" t="s">
        <v>2</v>
      </c>
      <c r="F19" s="1"/>
      <c r="G19" s="11" t="s">
        <v>15</v>
      </c>
      <c r="H19" s="21">
        <f>H18*COS(RADIANS(H7))/COS(RADIANS(H15))</f>
        <v>18.449835273596243</v>
      </c>
      <c r="I19" s="19">
        <f>I18*COS(RADIANS(H7))/COS(RADIANS(H15))</f>
        <v>30.749725455993737</v>
      </c>
      <c r="J19" s="14" t="s">
        <v>2</v>
      </c>
      <c r="K19" s="1"/>
      <c r="L19" s="1"/>
      <c r="M19" s="1"/>
      <c r="N19" s="1"/>
    </row>
    <row r="20" spans="2:14" customFormat="1" x14ac:dyDescent="0.2">
      <c r="B20" s="11" t="s">
        <v>31</v>
      </c>
      <c r="C20" s="21">
        <f>IF(C10="Nein",C18+2*$C$6+2*C15*C6,IF(C10="Ja",2*C9-2*C6*(D5/2+D15-1),""))</f>
        <v>20.704000000000001</v>
      </c>
      <c r="D20" s="19">
        <f>IF(C10="Nein",D18+2*$C$6+2*D15*C6,IF(C10="Ja",2*C9-2*C6*(C5/2+C15-1),""))</f>
        <v>32.6</v>
      </c>
      <c r="E20" s="11" t="s">
        <v>2</v>
      </c>
      <c r="F20" s="1"/>
      <c r="G20" s="11" t="s">
        <v>31</v>
      </c>
      <c r="H20" s="21">
        <f>IF(H10="Nein",H18+2*$H$6+2*H9*H6,IF(H10="Ja",2*H16-2*H6*(I5/2+I9-1),""))</f>
        <v>20.704000000000001</v>
      </c>
      <c r="I20" s="19">
        <f>IF(H10="Nein",I18+2*$H$6+2*I9*H6,IF(H10="Ja",2*H16-2*H6*(H5/2+H9-1),""))</f>
        <v>32.6</v>
      </c>
      <c r="J20" s="11" t="s">
        <v>2</v>
      </c>
      <c r="K20" s="1"/>
      <c r="L20" s="1"/>
      <c r="M20" s="1"/>
      <c r="N20" s="1"/>
    </row>
    <row r="21" spans="2:14" customFormat="1" x14ac:dyDescent="0.2">
      <c r="B21" s="11" t="s">
        <v>7</v>
      </c>
      <c r="C21" s="21">
        <f>C18-2*($C$6+C8)+2*C15*C6</f>
        <v>16.37</v>
      </c>
      <c r="D21" s="19">
        <f>D18-2*($C$6+C8)+2*D15*C6</f>
        <v>28.266000000000002</v>
      </c>
      <c r="E21" s="11" t="s">
        <v>2</v>
      </c>
      <c r="F21" s="1"/>
      <c r="G21" s="11" t="s">
        <v>7</v>
      </c>
      <c r="H21" s="21">
        <f>H18-2*($H$6+H8)+2*H9*H6</f>
        <v>16.37</v>
      </c>
      <c r="I21" s="19">
        <f>I18-2*($H$6+H8)+2*I9*H6</f>
        <v>28.266000000000002</v>
      </c>
      <c r="J21" s="11" t="s">
        <v>2</v>
      </c>
      <c r="K21" s="1"/>
      <c r="L21" s="1"/>
      <c r="M21" s="1"/>
      <c r="N21" s="1"/>
    </row>
    <row r="22" spans="2:14" customFormat="1" x14ac:dyDescent="0.2">
      <c r="B22" s="11" t="s">
        <v>18</v>
      </c>
      <c r="C22" s="21">
        <f>C18*COS(RADIANS(C7))</f>
        <v>16.914467174146353</v>
      </c>
      <c r="D22" s="19">
        <f>D18*COS(RADIANS(C7))</f>
        <v>28.190778623577252</v>
      </c>
      <c r="E22" s="11" t="s">
        <v>2</v>
      </c>
      <c r="F22" s="1"/>
      <c r="G22" s="11" t="s">
        <v>18</v>
      </c>
      <c r="H22" s="21">
        <f>H18*COS(RADIANS(H7))</f>
        <v>16.914467174146353</v>
      </c>
      <c r="I22" s="19">
        <f>I18*COS(RADIANS(H7))</f>
        <v>28.190778623577252</v>
      </c>
      <c r="J22" s="11" t="s">
        <v>2</v>
      </c>
      <c r="K22" s="1"/>
      <c r="L22" s="1"/>
      <c r="M22" s="1"/>
      <c r="N22" s="1"/>
    </row>
    <row r="23" spans="2:14" customFormat="1" x14ac:dyDescent="0.2">
      <c r="B23" s="11" t="s">
        <v>30</v>
      </c>
      <c r="C23" s="58">
        <f>C9-C18/2-D20/2+C6*(1-C15)+C8</f>
        <v>0.11500000000000074</v>
      </c>
      <c r="D23" s="59"/>
      <c r="E23" s="11" t="s">
        <v>2</v>
      </c>
      <c r="F23" s="1"/>
      <c r="G23" s="11" t="s">
        <v>30</v>
      </c>
      <c r="H23" s="44">
        <f>H16-H18/2-I20/2+H6*(1-H9)+H8</f>
        <v>0.11478036479498729</v>
      </c>
      <c r="I23" s="44"/>
      <c r="J23" s="11" t="s">
        <v>2</v>
      </c>
      <c r="K23" s="1"/>
      <c r="L23" s="1"/>
      <c r="M23" s="1"/>
      <c r="N23" s="1"/>
    </row>
    <row r="24" spans="2:14" customFormat="1" x14ac:dyDescent="0.2">
      <c r="B24" s="11" t="s">
        <v>8</v>
      </c>
      <c r="C24" s="58">
        <f>PI()*C18/C5</f>
        <v>3.1415926535897931</v>
      </c>
      <c r="D24" s="59"/>
      <c r="E24" s="11" t="s">
        <v>2</v>
      </c>
      <c r="F24" s="1"/>
      <c r="G24" s="11" t="s">
        <v>8</v>
      </c>
      <c r="H24" s="44">
        <f>PI()*H18/H5</f>
        <v>3.1415926535897931</v>
      </c>
      <c r="I24" s="44"/>
      <c r="J24" s="11" t="s">
        <v>2</v>
      </c>
      <c r="K24" s="1"/>
      <c r="L24" s="1"/>
      <c r="M24" s="1"/>
      <c r="N24" s="1"/>
    </row>
    <row r="25" spans="2:14" customFormat="1" x14ac:dyDescent="0.2">
      <c r="B25" s="11" t="s">
        <v>9</v>
      </c>
      <c r="C25" s="21">
        <f>C6*(PI()/2+2*C15*TAN(RADIANS(C7)))</f>
        <v>1.8270313717183031</v>
      </c>
      <c r="D25" s="19">
        <f>C6*(PI()/2+2*D15*TAN(RADIANS(C7)))</f>
        <v>1.7891784673546181</v>
      </c>
      <c r="E25" s="11" t="s">
        <v>2</v>
      </c>
      <c r="F25" s="1"/>
      <c r="G25" s="11" t="s">
        <v>9</v>
      </c>
      <c r="H25" s="21">
        <f>H6*(PI()/2+2*H9*TAN(RADIANS(H7)))</f>
        <v>1.8270313717183031</v>
      </c>
      <c r="I25" s="19">
        <f>H6*(PI()/2+2*I9*TAN(RADIANS(H7)))</f>
        <v>1.7891784673546181</v>
      </c>
      <c r="J25" s="11" t="s">
        <v>2</v>
      </c>
      <c r="K25" s="1"/>
      <c r="L25" s="1"/>
      <c r="M25" s="1"/>
      <c r="N25" s="1"/>
    </row>
    <row r="26" spans="2:14" customFormat="1" x14ac:dyDescent="0.2">
      <c r="B26" s="11" t="s">
        <v>16</v>
      </c>
      <c r="C26" s="21">
        <f>C19*((C6*(PI()/2+2*C15*TAN(RADIANS(C7))))/C18+(TAN(RADIANS(C7))-RADIANS(C7))-(TAN(ACOS(C18/C19*COS(RADIANS(C7))))-(ACOS(C18/C19*COS(RADIANS(C7))))))</f>
        <v>1.690204411150259</v>
      </c>
      <c r="D26" s="19">
        <f>D19*((C6*(PI()/2+2*D15*TAN(RADIANS(C7))))/D18+(TAN(RADIANS(C7))-RADIANS(C7))-(TAN(ACOS(D18/D19*COS(RADIANS(C7))))-(ACOS(D18/D19*COS(RADIANS(C7))))))</f>
        <v>1.5297366876034808</v>
      </c>
      <c r="E26" s="11" t="s">
        <v>2</v>
      </c>
      <c r="F26" s="1"/>
      <c r="G26" s="11" t="s">
        <v>16</v>
      </c>
      <c r="H26" s="21">
        <f>H19*((H6*(PI()/2+2*H9*TAN(RADIANS(H7))))/H18+(TAN(RADIANS(H7))-RADIANS(H7))-(TAN(ACOS(H18/H19*COS(RADIANS(H7))))-(ACOS(H18/H19*COS(RADIANS(H7))))))</f>
        <v>1.6902610841154004</v>
      </c>
      <c r="I26" s="19">
        <f>I19*((H6*(PI()/2+2*I9*TAN(RADIANS(H7))))/I18+(TAN(RADIANS(H7))-RADIANS(H7))-(TAN(ACOS(I18/I19*COS(RADIANS(H7))))-(ACOS(I18/I19*COS(RADIANS(H7))))))</f>
        <v>1.5298426356330361</v>
      </c>
      <c r="J26" s="11" t="s">
        <v>2</v>
      </c>
      <c r="K26" s="1"/>
      <c r="L26" s="1"/>
      <c r="M26" s="1"/>
      <c r="N26" s="1"/>
    </row>
    <row r="27" spans="2:14" customFormat="1" x14ac:dyDescent="0.2">
      <c r="B27" s="11" t="s">
        <v>17</v>
      </c>
      <c r="C27" s="21">
        <f>C22*((C6*(PI()/2+2*C15*TAN(RADIANS(C7))))/C18+(TAN(RADIANS(C7))-RADIANS(C7))-(TAN(ACOS(C18/C22*COS(RADIANS(C7))))-(ACOS(C18/C22*COS(RADIANS(C7))))))</f>
        <v>1.9689476096229843</v>
      </c>
      <c r="D27" s="19">
        <f>D22*((C6*(PI()/2+2*D15*TAN(RADIANS(C7))))/D18+(TAN(RADIANS(C7))-RADIANS(C7))-(TAN(ACOS(D18/D22*COS(RADIANS(C7))))-(ACOS(D18/D22*COS(RADIANS(C7))))))</f>
        <v>2.1014439891670742</v>
      </c>
      <c r="E27" s="11" t="s">
        <v>2</v>
      </c>
      <c r="F27" s="1"/>
      <c r="G27" s="11" t="s">
        <v>17</v>
      </c>
      <c r="H27" s="21">
        <f>H22*((H6*(PI()/2+2*H9*TAN(RADIANS(H7))))/H18+(TAN(RADIANS(H7))-RADIANS(H7))-(TAN(ACOS(H18/H22*COS(RADIANS(H7))))-(ACOS(H18/H22*COS(RADIANS(H7))))))</f>
        <v>1.9689476096229843</v>
      </c>
      <c r="I27" s="19">
        <f>I22*((H6*(PI()/2+2*I9*TAN(RADIANS(H7))))/I18+(TAN(RADIANS(H7))-RADIANS(H7))-(TAN(ACOS(I18/I22*COS(RADIANS(H7))))-(ACOS(I18/I22*COS(RADIANS(H7))))))</f>
        <v>2.1014439891670742</v>
      </c>
      <c r="J27" s="11" t="s">
        <v>2</v>
      </c>
      <c r="K27" s="1"/>
      <c r="L27" s="1"/>
      <c r="M27" s="1"/>
      <c r="N27" s="1"/>
    </row>
    <row r="28" spans="2:14" customFormat="1" x14ac:dyDescent="0.2">
      <c r="B28" s="11" t="s">
        <v>10</v>
      </c>
      <c r="C28" s="21">
        <f>C20*((C6*(PI()/2+2*C15*TAN(RADIANS(C7))))/C18+(TAN(RADIANS(C7))-RADIANS(C7))-(TAN(ACOS(C18/C20*COS(RADIANS(C7))))-(ACOS(C18/C20*COS(RADIANS(C7))))))</f>
        <v>0.52143532485968103</v>
      </c>
      <c r="D28" s="19">
        <f>D20*((C6*(PI()/2+2*D15*TAN(RADIANS(C7))))/D18+(TAN(RADIANS(C7))-RADIANS(C7))-(TAN(ACOS(D18/D20*COS(RADIANS(C7))))-(ACOS(D18/D20*COS(RADIANS(C7))))))</f>
        <v>0.64995599852938801</v>
      </c>
      <c r="E28" s="14" t="s">
        <v>2</v>
      </c>
      <c r="F28" s="1"/>
      <c r="G28" s="11" t="s">
        <v>10</v>
      </c>
      <c r="H28" s="21">
        <f>H20*((H6*(PI()/2+2*H9*TAN(RADIANS(H7))))/H18+(TAN(RADIANS(H7))-RADIANS(H7))-(TAN(ACOS(H18/H20*COS(RADIANS(H7))))-(ACOS(H18/H20*COS(RADIANS(H7))))))</f>
        <v>0.52143532485968103</v>
      </c>
      <c r="I28" s="19">
        <f>I20*((H6*(PI()/2+2*I9*TAN(RADIANS(H7))))/I18+(TAN(RADIANS(H7))-RADIANS(H7))-(TAN(ACOS(I18/I20*COS(RADIANS(H7))))-(ACOS(I18/I20*COS(RADIANS(H7))))))</f>
        <v>0.64995599852938801</v>
      </c>
      <c r="J28" s="14" t="s">
        <v>2</v>
      </c>
      <c r="K28" s="1"/>
      <c r="L28" s="1"/>
      <c r="M28" s="1"/>
      <c r="N28" s="1"/>
    </row>
    <row r="29" spans="2:14" customFormat="1" x14ac:dyDescent="0.2">
      <c r="B29" s="11" t="s">
        <v>21</v>
      </c>
      <c r="C29" s="44">
        <f>(1/2*((C20^2-C22^2)^0.5+(D20^2-D22^2)^0.5-(4*C9^2-(C22+D22)^2)^0.5))/(PI()*C6*COS(RADIANS(C7)))</f>
        <v>1.4668644975415426</v>
      </c>
      <c r="D29" s="44"/>
      <c r="E29" s="11"/>
      <c r="F29" s="1"/>
      <c r="G29" s="11" t="s">
        <v>21</v>
      </c>
      <c r="H29" s="44">
        <f>(1/2*((H20^2-H22^2)^0.5+(I20^2-I22^2)^0.5-(4*H16^2-(H22+I22)^2)^0.5))/(PI()*H6*COS(RADIANS(H7)))</f>
        <v>1.4670507747572676</v>
      </c>
      <c r="I29" s="44"/>
      <c r="J29" s="11"/>
      <c r="K29" s="1"/>
      <c r="L29" s="1"/>
      <c r="M29" s="1"/>
      <c r="N29" s="1"/>
    </row>
    <row r="30" spans="2:14" customFormat="1" x14ac:dyDescent="0.2">
      <c r="B30" s="37" t="s">
        <v>28</v>
      </c>
      <c r="C30" s="38"/>
      <c r="D30" s="38"/>
      <c r="E30" s="39"/>
      <c r="F30" s="1"/>
      <c r="G30" s="37" t="s">
        <v>28</v>
      </c>
      <c r="H30" s="38"/>
      <c r="I30" s="38"/>
      <c r="J30" s="39"/>
      <c r="K30" s="1"/>
      <c r="L30" s="1"/>
      <c r="M30" s="1"/>
      <c r="N30" s="1"/>
    </row>
    <row r="31" spans="2:14" customFormat="1" ht="14.25" customHeight="1" x14ac:dyDescent="0.2">
      <c r="B31" s="41" t="str">
        <f>IF(C10="Nein","Der Kopfkreisdurchmesser ist derzeit nicht gekürzt, sodass das Zahnkopfspiel im Betrieb nur " &amp; ROUND(C23,3) &amp; " mm " &amp; "beträgt. Soll das Herstellungs-Zahnkopfspiel von " &amp; ROUND(C8,3) &amp; " mm auch im Betrieb aufrecht erhalten werden, dann muss eine Kopfkreiskürzung vorgenommen werden. Wähle hierzu im DropDown-Menü Kopfkreiskürzung 'Ja' aus.",IF(C10="Ja","Der Kopfkreisdurchmesser ist derzeit gekürzt, sodass das Herstellungs-Zahnkopfspiel von " &amp; ROUND(C8,3) &amp; " mm " &amp; "auch im Betrieb aufrecht erhalten werden kann. Soll keine Kopfkreiskürzung vorgenommen werden, dann wähle hierzu im DropDown-Menü Kopfkreiskürzung 'Nein' aus.",""))</f>
        <v>Der Kopfkreisdurchmesser ist derzeit nicht gekürzt, sodass das Zahnkopfspiel im Betrieb nur 0,115 mm beträgt. Soll das Herstellungs-Zahnkopfspiel von 0,167 mm auch im Betrieb aufrecht erhalten werden, dann muss eine Kopfkreiskürzung vorgenommen werden. Wähle hierzu im DropDown-Menü Kopfkreiskürzung 'Ja' aus.</v>
      </c>
      <c r="C31" s="42"/>
      <c r="D31" s="42"/>
      <c r="E31" s="43"/>
      <c r="F31" s="1"/>
      <c r="G31" s="41" t="str">
        <f>IF(H10="Nein","Der Kopfkreisdurchmesser ist derzeit nicht gekürzt, sodass das Zahnkopfspiel im Betrieb nur " &amp; ROUND(H23,3) &amp; " mm " &amp; "beträgt. Soll das Herstellungs-Zahnkopfspiel von " &amp; ROUND(H8,3) &amp; " mm auch im Betrieb aufrecht erhalten werden, dann muss eine Kopfkreiskürzung vorgenommen werden. Wähle hierzu im DropDown-Menü Kopfkreiskürzung 'Ja' aus.",IF(H10="Ja","Der Kopfkreisdurchmesser ist derzeit gekürzt, sodass das Herstellungs-Zahnkopfspiel von " &amp; ROUND(H8,3) &amp; " mm " &amp; "auch im Betrieb aufrecht erhalten werden kann. Soll keine Kopfkreiskürzung vorgenommen werden, dann wähle hierzu im DropDown-Menü Kopfkreiskürzung 'Nein' aus.",""))</f>
        <v>Der Kopfkreisdurchmesser ist derzeit nicht gekürzt, sodass das Zahnkopfspiel im Betrieb nur 0,115 mm beträgt. Soll das Herstellungs-Zahnkopfspiel von 0,167 mm auch im Betrieb aufrecht erhalten werden, dann muss eine Kopfkreiskürzung vorgenommen werden. Wähle hierzu im DropDown-Menü Kopfkreiskürzung 'Ja' aus.</v>
      </c>
      <c r="H31" s="42"/>
      <c r="I31" s="42"/>
      <c r="J31" s="43"/>
      <c r="K31" s="1"/>
      <c r="L31" s="1"/>
      <c r="M31" s="1"/>
      <c r="N31" s="1"/>
    </row>
    <row r="32" spans="2:14" customFormat="1" x14ac:dyDescent="0.2">
      <c r="B32" s="41"/>
      <c r="C32" s="42"/>
      <c r="D32" s="42"/>
      <c r="E32" s="43"/>
      <c r="F32" s="1"/>
      <c r="G32" s="41"/>
      <c r="H32" s="42"/>
      <c r="I32" s="42"/>
      <c r="J32" s="43"/>
      <c r="K32" s="1"/>
      <c r="L32" s="1"/>
      <c r="M32" s="1"/>
      <c r="N32" s="1"/>
    </row>
    <row r="33" spans="2:1020" x14ac:dyDescent="0.2">
      <c r="B33" s="41"/>
      <c r="C33" s="42"/>
      <c r="D33" s="42"/>
      <c r="E33" s="43"/>
      <c r="G33" s="41"/>
      <c r="H33" s="42"/>
      <c r="I33" s="42"/>
      <c r="J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2:1020" x14ac:dyDescent="0.2">
      <c r="B34" s="41"/>
      <c r="C34" s="42"/>
      <c r="D34" s="42"/>
      <c r="E34" s="43"/>
      <c r="G34" s="41"/>
      <c r="H34" s="42"/>
      <c r="I34" s="42"/>
      <c r="J34" s="4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2:1020" x14ac:dyDescent="0.2">
      <c r="B35" s="41" t="str">
        <f>IF(C28&lt;0.2*C6,"Die Zahnkopfdicke des Ritzels ist geringer als 20 % des Moduls. Eine Kopfkreiskürzung ist nötig!",IF(D28&lt;0.2*C6,"Die Zahnkopfdicke des Gegenrades ist geringer als 20 % des Moduls. Eine Kopfkreiskürzung ist nötig!"," "))</f>
        <v xml:space="preserve"> </v>
      </c>
      <c r="C35" s="42"/>
      <c r="D35" s="42"/>
      <c r="E35" s="43"/>
      <c r="G35" s="28"/>
      <c r="H35" s="29"/>
      <c r="I35" s="29"/>
      <c r="J35" s="3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2:1020" x14ac:dyDescent="0.2">
      <c r="B36" s="41"/>
      <c r="C36" s="42"/>
      <c r="D36" s="42"/>
      <c r="E36" s="43"/>
      <c r="G36" s="28"/>
      <c r="H36" s="29"/>
      <c r="I36" s="29"/>
      <c r="J36" s="3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2:1020" x14ac:dyDescent="0.2">
      <c r="B37" s="41"/>
      <c r="C37" s="42"/>
      <c r="D37" s="42"/>
      <c r="E37" s="43"/>
      <c r="G37" s="28"/>
      <c r="H37" s="29"/>
      <c r="I37" s="29"/>
      <c r="J37" s="30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2:1020" x14ac:dyDescent="0.2">
      <c r="B38" s="41" t="str">
        <f>IF(C13&gt;1.5,"Die Summe der Profilverschiebungsfaktoren übersteigt den 1,5-fachen Wert des Moduls. Um den geforderten Achsabstand dennoch ohne Einschränkungen einzuhalten sollten andere Zähnezahlen gewählt werden!","")</f>
        <v/>
      </c>
      <c r="C38" s="42"/>
      <c r="D38" s="42"/>
      <c r="E38" s="43"/>
      <c r="G38" s="28"/>
      <c r="H38" s="29"/>
      <c r="I38" s="29"/>
      <c r="J38" s="3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2:1020" x14ac:dyDescent="0.2">
      <c r="B39" s="41"/>
      <c r="C39" s="42"/>
      <c r="D39" s="42"/>
      <c r="E39" s="43"/>
      <c r="G39" s="28"/>
      <c r="H39" s="29"/>
      <c r="I39" s="29"/>
      <c r="J39" s="30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2:1020" x14ac:dyDescent="0.2">
      <c r="B40" s="41"/>
      <c r="C40" s="42"/>
      <c r="D40" s="42"/>
      <c r="E40" s="43"/>
      <c r="G40" s="28"/>
      <c r="H40" s="29"/>
      <c r="I40" s="29"/>
      <c r="J40" s="3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2:1020" x14ac:dyDescent="0.2">
      <c r="B41" s="55"/>
      <c r="C41" s="56"/>
      <c r="D41" s="56"/>
      <c r="E41" s="57"/>
      <c r="G41" s="55"/>
      <c r="H41" s="56"/>
      <c r="I41" s="56"/>
      <c r="J41" s="5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</sheetData>
  <customSheetViews>
    <customSheetView guid="{6517D423-1BF8-4160-845E-47FD774DFB56}" scale="85">
      <selection activeCell="L11" sqref="L11"/>
      <pageMargins left="0" right="0" top="0.39370078740157477" bottom="0.39370078740157477" header="0" footer="0"/>
      <pageSetup paperSize="9" orientation="portrait" horizontalDpi="0" verticalDpi="0" r:id="rId1"/>
      <headerFooter>
        <oddHeader>&amp;C&amp;A</oddHeader>
        <oddFooter>&amp;CSeite &amp;P</oddFooter>
      </headerFooter>
    </customSheetView>
  </customSheetViews>
  <mergeCells count="37">
    <mergeCell ref="C24:D24"/>
    <mergeCell ref="C23:D23"/>
    <mergeCell ref="C17:D17"/>
    <mergeCell ref="C12:D12"/>
    <mergeCell ref="C13:D13"/>
    <mergeCell ref="G41:J41"/>
    <mergeCell ref="B2:E2"/>
    <mergeCell ref="C6:D6"/>
    <mergeCell ref="C7:D7"/>
    <mergeCell ref="C8:D8"/>
    <mergeCell ref="B3:E3"/>
    <mergeCell ref="B41:E41"/>
    <mergeCell ref="C10:D10"/>
    <mergeCell ref="B35:E37"/>
    <mergeCell ref="B31:E34"/>
    <mergeCell ref="C9:D9"/>
    <mergeCell ref="B11:E11"/>
    <mergeCell ref="B30:E30"/>
    <mergeCell ref="C29:D29"/>
    <mergeCell ref="B38:E40"/>
    <mergeCell ref="H16:I16"/>
    <mergeCell ref="G2:J2"/>
    <mergeCell ref="G3:J3"/>
    <mergeCell ref="H6:I6"/>
    <mergeCell ref="H7:I7"/>
    <mergeCell ref="H8:I8"/>
    <mergeCell ref="L3:N3"/>
    <mergeCell ref="H10:I10"/>
    <mergeCell ref="G11:J11"/>
    <mergeCell ref="H15:I15"/>
    <mergeCell ref="G31:J34"/>
    <mergeCell ref="H23:I23"/>
    <mergeCell ref="H24:I24"/>
    <mergeCell ref="H29:I29"/>
    <mergeCell ref="G30:J30"/>
    <mergeCell ref="H17:I17"/>
    <mergeCell ref="G12:G13"/>
  </mergeCells>
  <dataValidations count="1">
    <dataValidation type="list" showInputMessage="1" showErrorMessage="1" sqref="C10:D10 H10:I10" xr:uid="{00000000-0002-0000-0000-000000000000}">
      <formula1>"Ja,Nein"</formula1>
    </dataValidation>
  </dataValidations>
  <hyperlinks>
    <hyperlink ref="B2" r:id="rId2" xr:uid="{00000000-0004-0000-0000-000000000000}"/>
    <hyperlink ref="G2" r:id="rId3" xr:uid="{00000000-0004-0000-0000-000001000000}"/>
  </hyperlinks>
  <pageMargins left="0" right="0" top="0.39370078740157477" bottom="0.39370078740157477" header="0" footer="0"/>
  <pageSetup paperSize="9" orientation="portrait" horizontalDpi="0" verticalDpi="0" r:id="rId4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zoomScale="175" zoomScaleNormal="175" workbookViewId="0">
      <selection activeCell="B13" sqref="B13"/>
    </sheetView>
  </sheetViews>
  <sheetFormatPr baseColWidth="10" defaultRowHeight="14.25" x14ac:dyDescent="0.2"/>
  <cols>
    <col min="1" max="1" width="8.25" style="2" customWidth="1"/>
    <col min="2" max="2" width="14" style="3" customWidth="1"/>
  </cols>
  <sheetData>
    <row r="1" spans="1:2" x14ac:dyDescent="0.2">
      <c r="A1" s="2" t="s">
        <v>12</v>
      </c>
      <c r="B1" s="3">
        <f>2*(Eingabe!H9+Eingabe!I9)/(Eingabe!H5+Eingabe!I5)*TAN(RADIANS(Eingabe!H7))+TAN(RADIANS(Eingabe!H7))-RADIANS(Eingabe!H7)</f>
        <v>2.4792241898234924E-2</v>
      </c>
    </row>
    <row r="2" spans="1:2" x14ac:dyDescent="0.2">
      <c r="A2" s="2" t="s">
        <v>11</v>
      </c>
    </row>
    <row r="3" spans="1:2" x14ac:dyDescent="0.2">
      <c r="A3" s="2">
        <v>0</v>
      </c>
      <c r="B3" s="3">
        <f>(3*B1)^(1/3)-2/5*B1</f>
        <v>0.41062798503163989</v>
      </c>
    </row>
    <row r="4" spans="1:2" x14ac:dyDescent="0.2">
      <c r="A4" s="2">
        <v>1</v>
      </c>
      <c r="B4" s="3">
        <f>B3+($B$1-TAN(B3)+B3)/TAN(B3)^2</f>
        <v>0.4108506355399138</v>
      </c>
    </row>
    <row r="5" spans="1:2" x14ac:dyDescent="0.2">
      <c r="A5" s="2">
        <v>2</v>
      </c>
      <c r="B5" s="3">
        <f t="shared" ref="B5:B12" si="0">B4+($B$1-TAN(B4)+B4)/TAN(B4)^2</f>
        <v>0.41085050022274539</v>
      </c>
    </row>
    <row r="6" spans="1:2" x14ac:dyDescent="0.2">
      <c r="A6" s="2">
        <v>3</v>
      </c>
      <c r="B6" s="3">
        <f t="shared" si="0"/>
        <v>0.41085050022269537</v>
      </c>
    </row>
    <row r="7" spans="1:2" x14ac:dyDescent="0.2">
      <c r="A7" s="2">
        <v>4</v>
      </c>
      <c r="B7" s="3">
        <f t="shared" si="0"/>
        <v>0.41085050022269537</v>
      </c>
    </row>
    <row r="8" spans="1:2" x14ac:dyDescent="0.2">
      <c r="A8" s="2">
        <v>5</v>
      </c>
      <c r="B8" s="3">
        <f t="shared" si="0"/>
        <v>0.41085050022269537</v>
      </c>
    </row>
    <row r="9" spans="1:2" x14ac:dyDescent="0.2">
      <c r="A9" s="2">
        <v>6</v>
      </c>
      <c r="B9" s="3">
        <f t="shared" si="0"/>
        <v>0.41085050022269537</v>
      </c>
    </row>
    <row r="10" spans="1:2" x14ac:dyDescent="0.2">
      <c r="A10" s="2">
        <v>7</v>
      </c>
      <c r="B10" s="3">
        <f t="shared" si="0"/>
        <v>0.41085050022269537</v>
      </c>
    </row>
    <row r="11" spans="1:2" x14ac:dyDescent="0.2">
      <c r="A11" s="2">
        <v>8</v>
      </c>
      <c r="B11" s="3">
        <f t="shared" si="0"/>
        <v>0.41085050022269537</v>
      </c>
    </row>
    <row r="12" spans="1:2" x14ac:dyDescent="0.2">
      <c r="A12" s="2">
        <v>9</v>
      </c>
      <c r="B12" s="3">
        <f t="shared" si="0"/>
        <v>0.41085050022269537</v>
      </c>
    </row>
    <row r="13" spans="1:2" x14ac:dyDescent="0.2">
      <c r="A13" s="2">
        <v>10</v>
      </c>
      <c r="B13" s="3">
        <f>B12+($B$1-TAN(B12)+B12)/TAN(B12)^2</f>
        <v>0.41085050022269537</v>
      </c>
    </row>
  </sheetData>
  <customSheetViews>
    <customSheetView guid="{6517D423-1BF8-4160-845E-47FD774DFB56}" scale="175">
      <selection activeCell="B1" sqref="B1"/>
      <pageMargins left="0" right="0" top="0.39370078740157477" bottom="0.39370078740157477" header="0" footer="0"/>
      <pageSetup paperSize="9" orientation="portrait" horizontalDpi="0" verticalDpi="0" r:id="rId1"/>
      <headerFooter>
        <oddHeader>&amp;C&amp;A</oddHeader>
        <oddFooter>&amp;CSeite &amp;P</oddFooter>
      </headerFooter>
    </customSheetView>
  </customSheetViews>
  <pageMargins left="0" right="0" top="0.39370078740157477" bottom="0.39370078740157477" header="0" footer="0"/>
  <pageSetup paperSize="9" orientation="portrait" horizontalDpi="0" verticalDpi="0" r:id="rId2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Newton-Verfahren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cp:revision>293</cp:revision>
  <dcterms:created xsi:type="dcterms:W3CDTF">2014-07-08T14:04:57Z</dcterms:created>
  <dcterms:modified xsi:type="dcterms:W3CDTF">2019-05-17T12:42:04Z</dcterms:modified>
</cp:coreProperties>
</file>